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400" windowHeight="10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34" i="1"/>
  <c r="L134" s="1"/>
  <c r="K133"/>
  <c r="L133" s="1"/>
  <c r="K132"/>
  <c r="L132" s="1"/>
  <c r="K131"/>
  <c r="L131" s="1"/>
  <c r="G131"/>
  <c r="E131"/>
  <c r="K130"/>
  <c r="L130" s="1"/>
  <c r="G130"/>
  <c r="E130"/>
  <c r="K129"/>
  <c r="L129" s="1"/>
  <c r="G129"/>
  <c r="E129"/>
  <c r="K128"/>
  <c r="G128"/>
  <c r="E128"/>
  <c r="K127"/>
  <c r="G127"/>
  <c r="E127"/>
  <c r="K126"/>
  <c r="G126"/>
  <c r="E126"/>
  <c r="K125"/>
  <c r="G125"/>
  <c r="E125"/>
  <c r="K124"/>
  <c r="G124"/>
  <c r="E124"/>
  <c r="G123"/>
  <c r="E123"/>
  <c r="G122"/>
  <c r="E122"/>
  <c r="G121"/>
  <c r="E121"/>
  <c r="G120"/>
  <c r="E120"/>
  <c r="G119"/>
  <c r="E119"/>
  <c r="G118"/>
  <c r="E118"/>
  <c r="G117"/>
  <c r="E117"/>
  <c r="G116"/>
  <c r="E116"/>
  <c r="G115"/>
  <c r="E115"/>
  <c r="G114"/>
  <c r="E114"/>
  <c r="G113"/>
  <c r="E113"/>
  <c r="G112"/>
  <c r="E112"/>
  <c r="G111"/>
  <c r="E111"/>
  <c r="G110"/>
  <c r="E110"/>
  <c r="G109"/>
  <c r="E109"/>
  <c r="G108"/>
  <c r="E108"/>
  <c r="G107"/>
  <c r="E107"/>
  <c r="K106"/>
  <c r="K105"/>
  <c r="D108" s="1"/>
  <c r="K72"/>
  <c r="K71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73"/>
  <c r="K100"/>
  <c r="L100" s="1"/>
  <c r="K99"/>
  <c r="L99" s="1"/>
  <c r="K98"/>
  <c r="L98" s="1"/>
  <c r="K97"/>
  <c r="L97" s="1"/>
  <c r="K96"/>
  <c r="L96" s="1"/>
  <c r="K95"/>
  <c r="L95" s="1"/>
  <c r="K94"/>
  <c r="K93"/>
  <c r="K92"/>
  <c r="K91"/>
  <c r="K90"/>
  <c r="E73"/>
  <c r="K78" s="1"/>
  <c r="K58"/>
  <c r="K59"/>
  <c r="K60"/>
  <c r="K61"/>
  <c r="K62"/>
  <c r="L62" s="1"/>
  <c r="K63"/>
  <c r="L63" s="1"/>
  <c r="K64"/>
  <c r="L64" s="1"/>
  <c r="K65"/>
  <c r="L65" s="1"/>
  <c r="K66"/>
  <c r="L66" s="1"/>
  <c r="K67"/>
  <c r="L67" s="1"/>
  <c r="K57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41"/>
  <c r="K39"/>
  <c r="K38"/>
  <c r="D43" s="1"/>
  <c r="N27"/>
  <c r="N28"/>
  <c r="N29"/>
  <c r="N30"/>
  <c r="N31"/>
  <c r="N32"/>
  <c r="K74" l="1"/>
  <c r="D131"/>
  <c r="D129"/>
  <c r="D127"/>
  <c r="D125"/>
  <c r="D123"/>
  <c r="D121"/>
  <c r="D119"/>
  <c r="D117"/>
  <c r="D115"/>
  <c r="D113"/>
  <c r="D111"/>
  <c r="D109"/>
  <c r="D107"/>
  <c r="D130"/>
  <c r="D128"/>
  <c r="D126"/>
  <c r="D124"/>
  <c r="D122"/>
  <c r="D120"/>
  <c r="D118"/>
  <c r="D116"/>
  <c r="D114"/>
  <c r="D112"/>
  <c r="D110"/>
  <c r="K77"/>
  <c r="F97" s="1"/>
  <c r="K108"/>
  <c r="K112"/>
  <c r="K107"/>
  <c r="K111"/>
  <c r="F127" s="1"/>
  <c r="K73"/>
  <c r="K40"/>
  <c r="D64"/>
  <c r="D62"/>
  <c r="D60"/>
  <c r="D58"/>
  <c r="D56"/>
  <c r="D54"/>
  <c r="D52"/>
  <c r="D50"/>
  <c r="D48"/>
  <c r="D46"/>
  <c r="D44"/>
  <c r="D42"/>
  <c r="K44"/>
  <c r="D41"/>
  <c r="D63"/>
  <c r="D61"/>
  <c r="D59"/>
  <c r="D57"/>
  <c r="D55"/>
  <c r="D53"/>
  <c r="D51"/>
  <c r="D49"/>
  <c r="D47"/>
  <c r="D45"/>
  <c r="K45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8"/>
  <c r="L6"/>
  <c r="L5"/>
  <c r="D10" s="1"/>
  <c r="F131" l="1"/>
  <c r="F128"/>
  <c r="F124"/>
  <c r="F122"/>
  <c r="F120"/>
  <c r="F118"/>
  <c r="F116"/>
  <c r="F114"/>
  <c r="F112"/>
  <c r="F110"/>
  <c r="F108"/>
  <c r="F129"/>
  <c r="F125"/>
  <c r="F130"/>
  <c r="F126"/>
  <c r="F123"/>
  <c r="F121"/>
  <c r="F119"/>
  <c r="F117"/>
  <c r="F115"/>
  <c r="F113"/>
  <c r="F111"/>
  <c r="F109"/>
  <c r="F107"/>
  <c r="K114" s="1"/>
  <c r="F76"/>
  <c r="F73"/>
  <c r="F74"/>
  <c r="F78"/>
  <c r="F82"/>
  <c r="F86"/>
  <c r="F90"/>
  <c r="F94"/>
  <c r="F75"/>
  <c r="F79"/>
  <c r="F83"/>
  <c r="F87"/>
  <c r="F91"/>
  <c r="F95"/>
  <c r="F80"/>
  <c r="F84"/>
  <c r="F88"/>
  <c r="F92"/>
  <c r="F96"/>
  <c r="F77"/>
  <c r="F81"/>
  <c r="F85"/>
  <c r="F89"/>
  <c r="F93"/>
  <c r="K113"/>
  <c r="K79"/>
  <c r="K41"/>
  <c r="K46"/>
  <c r="F43"/>
  <c r="F47"/>
  <c r="F51"/>
  <c r="F55"/>
  <c r="F59"/>
  <c r="F42"/>
  <c r="F46"/>
  <c r="F50"/>
  <c r="F54"/>
  <c r="F58"/>
  <c r="F62"/>
  <c r="F41"/>
  <c r="F45"/>
  <c r="F49"/>
  <c r="F53"/>
  <c r="F57"/>
  <c r="F63"/>
  <c r="F44"/>
  <c r="F48"/>
  <c r="F52"/>
  <c r="F56"/>
  <c r="F60"/>
  <c r="F64"/>
  <c r="F61"/>
  <c r="D30"/>
  <c r="D8"/>
  <c r="D31"/>
  <c r="D29"/>
  <c r="D27"/>
  <c r="D25"/>
  <c r="D23"/>
  <c r="D21"/>
  <c r="D19"/>
  <c r="D17"/>
  <c r="D15"/>
  <c r="D13"/>
  <c r="D11"/>
  <c r="D9"/>
  <c r="L11"/>
  <c r="L7"/>
  <c r="D32"/>
  <c r="D28"/>
  <c r="D26"/>
  <c r="D24"/>
  <c r="D22"/>
  <c r="D20"/>
  <c r="D18"/>
  <c r="D16"/>
  <c r="D14"/>
  <c r="D12"/>
  <c r="L12"/>
  <c r="K117" l="1"/>
  <c r="K118"/>
  <c r="K80"/>
  <c r="K119"/>
  <c r="M126" s="1"/>
  <c r="N126" s="1"/>
  <c r="K84"/>
  <c r="K47"/>
  <c r="K50" s="1"/>
  <c r="L24"/>
  <c r="L26"/>
  <c r="L28"/>
  <c r="L30"/>
  <c r="L32"/>
  <c r="L23"/>
  <c r="L25"/>
  <c r="L27"/>
  <c r="L29"/>
  <c r="L31"/>
  <c r="L22"/>
  <c r="F10"/>
  <c r="H10" s="1"/>
  <c r="F12"/>
  <c r="H12" s="1"/>
  <c r="F14"/>
  <c r="H14" s="1"/>
  <c r="F16"/>
  <c r="H16" s="1"/>
  <c r="F18"/>
  <c r="H18" s="1"/>
  <c r="F20"/>
  <c r="H20" s="1"/>
  <c r="F22"/>
  <c r="H22" s="1"/>
  <c r="F24"/>
  <c r="H24" s="1"/>
  <c r="F26"/>
  <c r="H26" s="1"/>
  <c r="F28"/>
  <c r="H28" s="1"/>
  <c r="F30"/>
  <c r="H30" s="1"/>
  <c r="F32"/>
  <c r="H32" s="1"/>
  <c r="F9"/>
  <c r="H9" s="1"/>
  <c r="F13"/>
  <c r="H13" s="1"/>
  <c r="F15"/>
  <c r="H15" s="1"/>
  <c r="F17"/>
  <c r="H17" s="1"/>
  <c r="F19"/>
  <c r="H19" s="1"/>
  <c r="F23"/>
  <c r="H23" s="1"/>
  <c r="F27"/>
  <c r="H27" s="1"/>
  <c r="F31"/>
  <c r="H31" s="1"/>
  <c r="F11"/>
  <c r="H11" s="1"/>
  <c r="F21"/>
  <c r="H21" s="1"/>
  <c r="F25"/>
  <c r="H25" s="1"/>
  <c r="F29"/>
  <c r="H29" s="1"/>
  <c r="F8"/>
  <c r="H8" s="1"/>
  <c r="L8"/>
  <c r="H125" l="1"/>
  <c r="H131"/>
  <c r="H127"/>
  <c r="H123"/>
  <c r="H119"/>
  <c r="H115"/>
  <c r="H111"/>
  <c r="M124"/>
  <c r="N124" s="1"/>
  <c r="M131"/>
  <c r="N131" s="1"/>
  <c r="M127"/>
  <c r="N127" s="1"/>
  <c r="H107"/>
  <c r="H128"/>
  <c r="H124"/>
  <c r="H120"/>
  <c r="H116"/>
  <c r="H112"/>
  <c r="H108"/>
  <c r="M132"/>
  <c r="N132" s="1"/>
  <c r="M128"/>
  <c r="N128" s="1"/>
  <c r="H129"/>
  <c r="H121"/>
  <c r="H117"/>
  <c r="H113"/>
  <c r="H109"/>
  <c r="M133"/>
  <c r="N133" s="1"/>
  <c r="M129"/>
  <c r="N129" s="1"/>
  <c r="M125"/>
  <c r="N125" s="1"/>
  <c r="H130"/>
  <c r="H126"/>
  <c r="H122"/>
  <c r="H118"/>
  <c r="H114"/>
  <c r="H110"/>
  <c r="M134"/>
  <c r="N134" s="1"/>
  <c r="M130"/>
  <c r="N130" s="1"/>
  <c r="K83"/>
  <c r="K85" s="1"/>
  <c r="M94" s="1"/>
  <c r="N94" s="1"/>
  <c r="K51"/>
  <c r="K52"/>
  <c r="M60" s="1"/>
  <c r="N60" s="1"/>
  <c r="H33"/>
  <c r="L15"/>
  <c r="L16"/>
  <c r="H97" l="1"/>
  <c r="H93"/>
  <c r="H89"/>
  <c r="H85"/>
  <c r="H81"/>
  <c r="H77"/>
  <c r="M90"/>
  <c r="N90" s="1"/>
  <c r="M97"/>
  <c r="N97" s="1"/>
  <c r="M93"/>
  <c r="N93" s="1"/>
  <c r="H73"/>
  <c r="H94"/>
  <c r="H90"/>
  <c r="H86"/>
  <c r="H82"/>
  <c r="H95"/>
  <c r="H91"/>
  <c r="H87"/>
  <c r="H83"/>
  <c r="H79"/>
  <c r="H75"/>
  <c r="M99"/>
  <c r="N99" s="1"/>
  <c r="M95"/>
  <c r="N95" s="1"/>
  <c r="M91"/>
  <c r="N91" s="1"/>
  <c r="H96"/>
  <c r="H92"/>
  <c r="H88"/>
  <c r="H84"/>
  <c r="H80"/>
  <c r="H76"/>
  <c r="M100"/>
  <c r="N100" s="1"/>
  <c r="M96"/>
  <c r="N96" s="1"/>
  <c r="M92"/>
  <c r="N92" s="1"/>
  <c r="H78"/>
  <c r="H74"/>
  <c r="M98"/>
  <c r="N98" s="1"/>
  <c r="M63"/>
  <c r="N63" s="1"/>
  <c r="M66"/>
  <c r="N66" s="1"/>
  <c r="M58"/>
  <c r="N58" s="1"/>
  <c r="M67"/>
  <c r="N67" s="1"/>
  <c r="M59"/>
  <c r="N59" s="1"/>
  <c r="M62"/>
  <c r="N62" s="1"/>
  <c r="M65"/>
  <c r="N65" s="1"/>
  <c r="M61"/>
  <c r="N61" s="1"/>
  <c r="M57"/>
  <c r="N57" s="1"/>
  <c r="M64"/>
  <c r="N64" s="1"/>
  <c r="H45"/>
  <c r="H49"/>
  <c r="H53"/>
  <c r="H57"/>
  <c r="H61"/>
  <c r="H41"/>
  <c r="H44"/>
  <c r="H48"/>
  <c r="H52"/>
  <c r="H56"/>
  <c r="H60"/>
  <c r="H64"/>
  <c r="H43"/>
  <c r="H47"/>
  <c r="H51"/>
  <c r="H55"/>
  <c r="H59"/>
  <c r="H63"/>
  <c r="H42"/>
  <c r="H46"/>
  <c r="H50"/>
  <c r="H54"/>
  <c r="H58"/>
  <c r="H62"/>
  <c r="L17"/>
  <c r="M25" l="1"/>
  <c r="M29"/>
  <c r="M22"/>
  <c r="G11"/>
  <c r="I11" s="1"/>
  <c r="G15"/>
  <c r="I15" s="1"/>
  <c r="G19"/>
  <c r="I19" s="1"/>
  <c r="G23"/>
  <c r="I23" s="1"/>
  <c r="G27"/>
  <c r="I27" s="1"/>
  <c r="M24"/>
  <c r="M32"/>
  <c r="G16"/>
  <c r="I16" s="1"/>
  <c r="G24"/>
  <c r="I24" s="1"/>
  <c r="G32"/>
  <c r="I32" s="1"/>
  <c r="M23"/>
  <c r="M27"/>
  <c r="M31"/>
  <c r="G9"/>
  <c r="I9" s="1"/>
  <c r="G13"/>
  <c r="I13" s="1"/>
  <c r="G17"/>
  <c r="I17" s="1"/>
  <c r="G21"/>
  <c r="I21" s="1"/>
  <c r="G25"/>
  <c r="I25" s="1"/>
  <c r="G29"/>
  <c r="I29" s="1"/>
  <c r="G8"/>
  <c r="I8" s="1"/>
  <c r="M26"/>
  <c r="M30"/>
  <c r="G10"/>
  <c r="I10" s="1"/>
  <c r="G14"/>
  <c r="I14" s="1"/>
  <c r="G18"/>
  <c r="I18" s="1"/>
  <c r="G22"/>
  <c r="I22" s="1"/>
  <c r="G26"/>
  <c r="I26" s="1"/>
  <c r="G30"/>
  <c r="I30" s="1"/>
  <c r="G31"/>
  <c r="I31" s="1"/>
  <c r="M28"/>
  <c r="G12"/>
  <c r="I12" s="1"/>
  <c r="G20"/>
  <c r="I20" s="1"/>
  <c r="G28"/>
  <c r="I28" s="1"/>
  <c r="I33" l="1"/>
</calcChain>
</file>

<file path=xl/sharedStrings.xml><?xml version="1.0" encoding="utf-8"?>
<sst xmlns="http://schemas.openxmlformats.org/spreadsheetml/2006/main" count="143" uniqueCount="59">
  <si>
    <t>Zadatak 8</t>
  </si>
  <si>
    <t>i</t>
  </si>
  <si>
    <t>x</t>
  </si>
  <si>
    <t>xsort</t>
  </si>
  <si>
    <t>[-]</t>
  </si>
  <si>
    <t>[m3/s]</t>
  </si>
  <si>
    <t xml:space="preserve">xsr </t>
  </si>
  <si>
    <t>S</t>
  </si>
  <si>
    <t>Cv</t>
  </si>
  <si>
    <t>Cs</t>
  </si>
  <si>
    <t>(xi-xsr)3</t>
  </si>
  <si>
    <t>Gumbelova raspodela</t>
  </si>
  <si>
    <t>u</t>
  </si>
  <si>
    <t>α</t>
  </si>
  <si>
    <t>Pirson III raspodela</t>
  </si>
  <si>
    <t>β</t>
  </si>
  <si>
    <t>γ</t>
  </si>
  <si>
    <t>Osnovne statistike uzorka</t>
  </si>
  <si>
    <t>Tabela 2. Određivanje kvantila za zadate vrednosti teorijskih funkcija raspodele</t>
  </si>
  <si>
    <t>F(x)</t>
  </si>
  <si>
    <t>xpIII [m3/s]</t>
  </si>
  <si>
    <t>xg [m3/s]</t>
  </si>
  <si>
    <t>T [god]</t>
  </si>
  <si>
    <t>|Fg-Fe|</t>
  </si>
  <si>
    <t>|FpIII-Fe|</t>
  </si>
  <si>
    <t>Dmax</t>
  </si>
  <si>
    <t>Dkr</t>
  </si>
  <si>
    <t>Obe teorijske raspodele su saglasne sa empirijskom.</t>
  </si>
  <si>
    <t>Tačka 1</t>
  </si>
  <si>
    <t>Tačka 2</t>
  </si>
  <si>
    <t xml:space="preserve">x </t>
  </si>
  <si>
    <t>Tabela 3. Minimalni godišnji 30-dnevni protoci i njihove verovatnoće</t>
  </si>
  <si>
    <t>Tabela 1. Maksimalni godišnji protoci i njihove verovatnoće</t>
  </si>
  <si>
    <t>Fe(xsort)</t>
  </si>
  <si>
    <t>Fg(xsort)</t>
  </si>
  <si>
    <t>FpIII(xsort)</t>
  </si>
  <si>
    <t>xsr</t>
  </si>
  <si>
    <t>Sx</t>
  </si>
  <si>
    <t>Cvx</t>
  </si>
  <si>
    <t>Csx</t>
  </si>
  <si>
    <t>Osnovne statistike logaritmovanog uzorka</t>
  </si>
  <si>
    <t>ysr</t>
  </si>
  <si>
    <t>Sy</t>
  </si>
  <si>
    <t>Cvy</t>
  </si>
  <si>
    <t>Csy</t>
  </si>
  <si>
    <t>ysort</t>
  </si>
  <si>
    <t>(yi-ysr)3</t>
  </si>
  <si>
    <t>Fe(ysort)</t>
  </si>
  <si>
    <t>FlpIII(ysort)</t>
  </si>
  <si>
    <t>Log-Pirson III raspodela</t>
  </si>
  <si>
    <t>Tabela 4. Određivanje kvantila za zadate vrednosti teorijskih funkcija raspodele</t>
  </si>
  <si>
    <t>F(y)</t>
  </si>
  <si>
    <t>P(y)</t>
  </si>
  <si>
    <t>ylpIII</t>
  </si>
  <si>
    <t>xlpIII [m3/s]</t>
  </si>
  <si>
    <t>Tabela 5. Minimalni godišnji 20-dnevni protoci i njihove verovatnoće</t>
  </si>
  <si>
    <t>Tabela 6. Određivanje kvantila za zadate vrednosti teorijskih funkcija raspodele</t>
  </si>
  <si>
    <t>Tabela 7. Minimalni godišnji 10-dnevni protoci i njihove verovatnoće</t>
  </si>
  <si>
    <t>Tabela 8. Određivanje kvantila za zadate vrednosti teorijskih funkcija raspodele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</si>
</sst>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Border="1"/>
    <xf numFmtId="164" fontId="0" fillId="0" borderId="0" xfId="0" applyNumberFormat="1"/>
    <xf numFmtId="0" fontId="1" fillId="0" borderId="2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5"/>
  <sheetViews>
    <sheetView tabSelected="1" topLeftCell="C2" zoomScaleNormal="100" workbookViewId="0">
      <selection activeCell="D2" sqref="D2"/>
    </sheetView>
  </sheetViews>
  <sheetFormatPr defaultRowHeight="15"/>
  <cols>
    <col min="4" max="4" width="9.7109375" customWidth="1"/>
    <col min="7" max="7" width="10.42578125" customWidth="1"/>
    <col min="8" max="8" width="11.28515625" customWidth="1"/>
    <col min="11" max="11" width="10.5703125" bestFit="1" customWidth="1"/>
    <col min="12" max="12" width="11.28515625" bestFit="1" customWidth="1"/>
    <col min="13" max="13" width="11" customWidth="1"/>
    <col min="14" max="14" width="12.7109375" customWidth="1"/>
  </cols>
  <sheetData>
    <row r="1" spans="1:12" ht="18.75">
      <c r="A1" s="3" t="s">
        <v>0</v>
      </c>
    </row>
    <row r="3" spans="1:12">
      <c r="A3" s="4" t="s">
        <v>28</v>
      </c>
    </row>
    <row r="4" spans="1:12">
      <c r="K4" s="6" t="s">
        <v>17</v>
      </c>
    </row>
    <row r="5" spans="1:12" ht="15.75" thickBot="1">
      <c r="A5" s="2" t="s">
        <v>32</v>
      </c>
      <c r="K5" s="5" t="s">
        <v>6</v>
      </c>
      <c r="L5" s="35">
        <f>AVERAGE(C8:C32)</f>
        <v>358.4</v>
      </c>
    </row>
    <row r="6" spans="1:12" ht="15.75" thickTop="1">
      <c r="A6" s="8" t="s">
        <v>1</v>
      </c>
      <c r="B6" s="9" t="s">
        <v>2</v>
      </c>
      <c r="C6" s="9" t="s">
        <v>3</v>
      </c>
      <c r="D6" s="9" t="s">
        <v>10</v>
      </c>
      <c r="E6" s="9" t="s">
        <v>33</v>
      </c>
      <c r="F6" s="10" t="s">
        <v>34</v>
      </c>
      <c r="G6" s="9" t="s">
        <v>35</v>
      </c>
      <c r="H6" s="9" t="s">
        <v>23</v>
      </c>
      <c r="I6" s="11" t="s">
        <v>24</v>
      </c>
      <c r="K6" s="5" t="s">
        <v>7</v>
      </c>
      <c r="L6" s="35">
        <f>STDEV(C8:C32)</f>
        <v>145.30943993193742</v>
      </c>
    </row>
    <row r="7" spans="1:12" ht="15.75" thickBot="1">
      <c r="A7" s="12" t="s">
        <v>4</v>
      </c>
      <c r="B7" s="13" t="s">
        <v>5</v>
      </c>
      <c r="C7" s="13" t="s">
        <v>5</v>
      </c>
      <c r="D7" s="13"/>
      <c r="E7" s="13" t="s">
        <v>4</v>
      </c>
      <c r="F7" s="14" t="s">
        <v>4</v>
      </c>
      <c r="G7" s="13" t="s">
        <v>4</v>
      </c>
      <c r="H7" s="13" t="s">
        <v>4</v>
      </c>
      <c r="I7" s="15" t="s">
        <v>4</v>
      </c>
      <c r="K7" s="5" t="s">
        <v>8</v>
      </c>
      <c r="L7" s="35">
        <f>L6/L5</f>
        <v>0.40543928552437897</v>
      </c>
    </row>
    <row r="8" spans="1:12" ht="15.75" thickTop="1">
      <c r="A8" s="16">
        <v>1</v>
      </c>
      <c r="B8" s="17">
        <v>604</v>
      </c>
      <c r="C8" s="17">
        <v>132</v>
      </c>
      <c r="D8" s="21">
        <f t="shared" ref="D8:D32" si="0">(C8-$L$5)^3</f>
        <v>-11604575.743999997</v>
      </c>
      <c r="E8" s="24">
        <f>A8/26</f>
        <v>3.8461538461538464E-2</v>
      </c>
      <c r="F8" s="24">
        <f t="shared" ref="F8:F32" si="1">EXP(-EXP(-((C8-$L$11)/$L$12)))</f>
        <v>1.5930323734299985E-2</v>
      </c>
      <c r="G8" s="24">
        <f t="shared" ref="G8:G32" si="2">IF($L$8&gt;0,GAMMADIST((C8-$L$17)/$L$16,$L$15,1,TRUE),1-GAMMADIST((C8-$L$17)/$L$16,$L$15,1,TRUE))</f>
        <v>3.8809043370557933E-2</v>
      </c>
      <c r="H8" s="24">
        <f>ABS(F8-E8)</f>
        <v>2.2531214727238479E-2</v>
      </c>
      <c r="I8" s="27">
        <f>ABS(G8-E8)</f>
        <v>3.4750490901946929E-4</v>
      </c>
      <c r="K8" s="5" t="s">
        <v>9</v>
      </c>
      <c r="L8" s="35">
        <f>(25/(24*23))*(1/($L$6^3))*SUM(D8:D32)</f>
        <v>0.54867367377943821</v>
      </c>
    </row>
    <row r="9" spans="1:12">
      <c r="A9" s="18">
        <v>2</v>
      </c>
      <c r="B9" s="7">
        <v>310</v>
      </c>
      <c r="C9" s="7">
        <v>161</v>
      </c>
      <c r="D9" s="22">
        <f t="shared" si="0"/>
        <v>-7692038.4239999969</v>
      </c>
      <c r="E9" s="25">
        <f t="shared" ref="E9:E32" si="3">A9/26</f>
        <v>7.6923076923076927E-2</v>
      </c>
      <c r="F9" s="25">
        <f t="shared" si="1"/>
        <v>4.0558103361329111E-2</v>
      </c>
      <c r="G9" s="25">
        <f t="shared" si="2"/>
        <v>6.9105432073348724E-2</v>
      </c>
      <c r="H9" s="25">
        <f t="shared" ref="H9:H32" si="4">ABS(F9-E9)</f>
        <v>3.6364973561747817E-2</v>
      </c>
      <c r="I9" s="28">
        <f t="shared" ref="I9:I32" si="5">ABS(G9-E9)</f>
        <v>7.8176448497282031E-3</v>
      </c>
    </row>
    <row r="10" spans="1:12">
      <c r="A10" s="18">
        <v>3</v>
      </c>
      <c r="B10" s="7">
        <v>382</v>
      </c>
      <c r="C10" s="7">
        <v>186</v>
      </c>
      <c r="D10" s="22">
        <f t="shared" si="0"/>
        <v>-5124031.4239999978</v>
      </c>
      <c r="E10" s="25">
        <f t="shared" si="3"/>
        <v>0.11538461538461539</v>
      </c>
      <c r="F10" s="25">
        <f t="shared" si="1"/>
        <v>7.6488401250953325E-2</v>
      </c>
      <c r="G10" s="25">
        <f t="shared" si="2"/>
        <v>0.10517020493861874</v>
      </c>
      <c r="H10" s="25">
        <f t="shared" si="4"/>
        <v>3.8896214133662066E-2</v>
      </c>
      <c r="I10" s="28">
        <f t="shared" si="5"/>
        <v>1.0214410445996649E-2</v>
      </c>
      <c r="K10" s="6" t="s">
        <v>11</v>
      </c>
    </row>
    <row r="11" spans="1:12">
      <c r="A11" s="18">
        <v>4</v>
      </c>
      <c r="B11" s="7">
        <v>340</v>
      </c>
      <c r="C11" s="7">
        <v>189</v>
      </c>
      <c r="D11" s="22">
        <f t="shared" si="0"/>
        <v>-4861163.3839999977</v>
      </c>
      <c r="E11" s="25">
        <f t="shared" si="3"/>
        <v>0.15384615384615385</v>
      </c>
      <c r="F11" s="25">
        <f t="shared" si="1"/>
        <v>8.1800833086066532E-2</v>
      </c>
      <c r="G11" s="25">
        <f t="shared" si="2"/>
        <v>0.11013670324604991</v>
      </c>
      <c r="H11" s="25">
        <f t="shared" si="4"/>
        <v>7.2045320760087322E-2</v>
      </c>
      <c r="I11" s="28">
        <f t="shared" si="5"/>
        <v>4.370945060010395E-2</v>
      </c>
      <c r="K11" s="5" t="s">
        <v>12</v>
      </c>
      <c r="L11" s="35">
        <f>L5-0.45*L6</f>
        <v>293.01075203062817</v>
      </c>
    </row>
    <row r="12" spans="1:12">
      <c r="A12" s="18">
        <v>5</v>
      </c>
      <c r="B12" s="7">
        <v>314</v>
      </c>
      <c r="C12" s="7">
        <v>229</v>
      </c>
      <c r="D12" s="22">
        <f t="shared" si="0"/>
        <v>-2166720.183999999</v>
      </c>
      <c r="E12" s="25">
        <f t="shared" si="3"/>
        <v>0.19230769230769232</v>
      </c>
      <c r="F12" s="25">
        <f t="shared" si="1"/>
        <v>0.17221236799068146</v>
      </c>
      <c r="G12" s="25">
        <f t="shared" si="2"/>
        <v>0.18891002959433106</v>
      </c>
      <c r="H12" s="25">
        <f t="shared" si="4"/>
        <v>2.009532431701086E-2</v>
      </c>
      <c r="I12" s="28">
        <f t="shared" si="5"/>
        <v>3.3976627133612547E-3</v>
      </c>
      <c r="K12" s="34" t="s">
        <v>13</v>
      </c>
      <c r="L12" s="35">
        <f>0.78*L6</f>
        <v>113.34136314691119</v>
      </c>
    </row>
    <row r="13" spans="1:12">
      <c r="A13" s="18">
        <v>6</v>
      </c>
      <c r="B13" s="7">
        <v>543</v>
      </c>
      <c r="C13" s="7">
        <v>259</v>
      </c>
      <c r="D13" s="22">
        <f t="shared" si="0"/>
        <v>-982107.78399999929</v>
      </c>
      <c r="E13" s="25">
        <f t="shared" si="3"/>
        <v>0.23076923076923078</v>
      </c>
      <c r="F13" s="25">
        <f t="shared" si="1"/>
        <v>0.25925110367868492</v>
      </c>
      <c r="G13" s="25">
        <f t="shared" si="2"/>
        <v>0.2613679390369541</v>
      </c>
      <c r="H13" s="25">
        <f t="shared" si="4"/>
        <v>2.8481872909454142E-2</v>
      </c>
      <c r="I13" s="28">
        <f t="shared" si="5"/>
        <v>3.0598708267723318E-2</v>
      </c>
      <c r="L13" s="52"/>
    </row>
    <row r="14" spans="1:12">
      <c r="A14" s="18">
        <v>7</v>
      </c>
      <c r="B14" s="7">
        <v>264</v>
      </c>
      <c r="C14" s="7">
        <v>260</v>
      </c>
      <c r="D14" s="22">
        <f t="shared" si="0"/>
        <v>-952763.9039999994</v>
      </c>
      <c r="E14" s="25">
        <f t="shared" si="3"/>
        <v>0.26923076923076922</v>
      </c>
      <c r="F14" s="25">
        <f t="shared" si="1"/>
        <v>0.26234364525279608</v>
      </c>
      <c r="G14" s="25">
        <f t="shared" si="2"/>
        <v>0.2639411428987577</v>
      </c>
      <c r="H14" s="25">
        <f t="shared" si="4"/>
        <v>6.8871239779731419E-3</v>
      </c>
      <c r="I14" s="28">
        <f t="shared" si="5"/>
        <v>5.2896263320115211E-3</v>
      </c>
      <c r="K14" s="6" t="s">
        <v>14</v>
      </c>
    </row>
    <row r="15" spans="1:12">
      <c r="A15" s="18">
        <v>8</v>
      </c>
      <c r="B15" s="7">
        <v>372</v>
      </c>
      <c r="C15" s="7">
        <v>264</v>
      </c>
      <c r="D15" s="22">
        <f t="shared" si="0"/>
        <v>-841232.38399999938</v>
      </c>
      <c r="E15" s="25">
        <f t="shared" si="3"/>
        <v>0.30769230769230771</v>
      </c>
      <c r="F15" s="25">
        <f t="shared" si="1"/>
        <v>0.27480325277485951</v>
      </c>
      <c r="G15" s="25">
        <f t="shared" si="2"/>
        <v>0.27432033489149077</v>
      </c>
      <c r="H15" s="25">
        <f t="shared" si="4"/>
        <v>3.2889054917448202E-2</v>
      </c>
      <c r="I15" s="28">
        <f t="shared" si="5"/>
        <v>3.337197280081694E-2</v>
      </c>
      <c r="K15" s="34" t="s">
        <v>13</v>
      </c>
      <c r="L15" s="35">
        <f>4/(L8^2)</f>
        <v>13.287147196452199</v>
      </c>
    </row>
    <row r="16" spans="1:12">
      <c r="A16" s="18">
        <v>9</v>
      </c>
      <c r="B16" s="7">
        <v>538</v>
      </c>
      <c r="C16" s="7">
        <v>304</v>
      </c>
      <c r="D16" s="22">
        <f t="shared" si="0"/>
        <v>-160989.1839999998</v>
      </c>
      <c r="E16" s="25">
        <f t="shared" si="3"/>
        <v>0.34615384615384615</v>
      </c>
      <c r="F16" s="25">
        <f t="shared" si="1"/>
        <v>0.40349347741279012</v>
      </c>
      <c r="G16" s="25">
        <f t="shared" si="2"/>
        <v>0.38376372980760198</v>
      </c>
      <c r="H16" s="25">
        <f t="shared" si="4"/>
        <v>5.7339631258943979E-2</v>
      </c>
      <c r="I16" s="28">
        <f t="shared" si="5"/>
        <v>3.7609883653755838E-2</v>
      </c>
      <c r="K16" s="34" t="s">
        <v>15</v>
      </c>
      <c r="L16" s="35">
        <f>L6*L8/2</f>
        <v>39.863732121144352</v>
      </c>
    </row>
    <row r="17" spans="1:14">
      <c r="A17" s="18">
        <v>10</v>
      </c>
      <c r="B17" s="7">
        <v>404</v>
      </c>
      <c r="C17" s="7">
        <v>310</v>
      </c>
      <c r="D17" s="22">
        <f t="shared" si="0"/>
        <v>-113379.90399999983</v>
      </c>
      <c r="E17" s="25">
        <f t="shared" si="3"/>
        <v>0.38461538461538464</v>
      </c>
      <c r="F17" s="25">
        <f t="shared" si="1"/>
        <v>0.42282420462242065</v>
      </c>
      <c r="G17" s="25">
        <f t="shared" si="2"/>
        <v>0.40071781143401247</v>
      </c>
      <c r="H17" s="25">
        <f t="shared" si="4"/>
        <v>3.8208820007036015E-2</v>
      </c>
      <c r="I17" s="28">
        <f t="shared" si="5"/>
        <v>1.6102426818627835E-2</v>
      </c>
      <c r="K17" s="34" t="s">
        <v>16</v>
      </c>
      <c r="L17" s="35">
        <f>L5-L15*L16</f>
        <v>-171.27527649358467</v>
      </c>
    </row>
    <row r="18" spans="1:14">
      <c r="A18" s="18">
        <v>11</v>
      </c>
      <c r="B18" s="7">
        <v>490</v>
      </c>
      <c r="C18" s="7">
        <v>313</v>
      </c>
      <c r="D18" s="22">
        <f t="shared" si="0"/>
        <v>-93576.663999999859</v>
      </c>
      <c r="E18" s="25">
        <f t="shared" si="3"/>
        <v>0.42307692307692307</v>
      </c>
      <c r="F18" s="25">
        <f t="shared" si="1"/>
        <v>0.43243924593462679</v>
      </c>
      <c r="G18" s="25">
        <f t="shared" si="2"/>
        <v>0.40921388345592274</v>
      </c>
      <c r="H18" s="25">
        <f t="shared" si="4"/>
        <v>9.3623228577037199E-3</v>
      </c>
      <c r="I18" s="28">
        <f t="shared" si="5"/>
        <v>1.3863039621000328E-2</v>
      </c>
    </row>
    <row r="19" spans="1:14">
      <c r="A19" s="18">
        <v>12</v>
      </c>
      <c r="B19" s="7">
        <v>229</v>
      </c>
      <c r="C19" s="7">
        <v>314</v>
      </c>
      <c r="D19" s="22">
        <f t="shared" si="0"/>
        <v>-87528.383999999875</v>
      </c>
      <c r="E19" s="25">
        <f t="shared" si="3"/>
        <v>0.46153846153846156</v>
      </c>
      <c r="F19" s="25">
        <f t="shared" si="1"/>
        <v>0.43563540695671427</v>
      </c>
      <c r="G19" s="25">
        <f t="shared" si="2"/>
        <v>0.41204773057574973</v>
      </c>
      <c r="H19" s="25">
        <f t="shared" si="4"/>
        <v>2.5903054581747298E-2</v>
      </c>
      <c r="I19" s="28">
        <f t="shared" si="5"/>
        <v>4.9490730962711837E-2</v>
      </c>
      <c r="K19" s="69" t="s">
        <v>18</v>
      </c>
      <c r="L19" s="69"/>
      <c r="M19" s="69"/>
      <c r="N19" s="69"/>
    </row>
    <row r="20" spans="1:14" ht="15.75" thickBot="1">
      <c r="A20" s="18">
        <v>13</v>
      </c>
      <c r="B20" s="7">
        <v>161</v>
      </c>
      <c r="C20" s="7">
        <v>316</v>
      </c>
      <c r="D20" s="22">
        <f t="shared" si="0"/>
        <v>-76225.023999999888</v>
      </c>
      <c r="E20" s="25">
        <f t="shared" si="3"/>
        <v>0.5</v>
      </c>
      <c r="F20" s="25">
        <f t="shared" si="1"/>
        <v>0.44201324070955267</v>
      </c>
      <c r="G20" s="25">
        <f t="shared" si="2"/>
        <v>0.41771727093214001</v>
      </c>
      <c r="H20" s="25">
        <f t="shared" si="4"/>
        <v>5.7986759290447332E-2</v>
      </c>
      <c r="I20" s="28">
        <f t="shared" si="5"/>
        <v>8.2282729067859994E-2</v>
      </c>
      <c r="K20" s="69"/>
      <c r="L20" s="69"/>
      <c r="M20" s="69"/>
      <c r="N20" s="69"/>
    </row>
    <row r="21" spans="1:14" ht="16.5" thickTop="1" thickBot="1">
      <c r="A21" s="18">
        <v>14</v>
      </c>
      <c r="B21" s="7">
        <v>313</v>
      </c>
      <c r="C21" s="7">
        <v>340</v>
      </c>
      <c r="D21" s="22">
        <f t="shared" si="0"/>
        <v>-6229.5039999999763</v>
      </c>
      <c r="E21" s="25">
        <f t="shared" si="3"/>
        <v>0.53846153846153844</v>
      </c>
      <c r="F21" s="25">
        <f t="shared" si="1"/>
        <v>0.51653274225160273</v>
      </c>
      <c r="G21" s="25">
        <f t="shared" si="2"/>
        <v>0.48554047814221563</v>
      </c>
      <c r="H21" s="25">
        <f t="shared" si="4"/>
        <v>2.1928796209935708E-2</v>
      </c>
      <c r="I21" s="28">
        <f t="shared" si="5"/>
        <v>5.292106031932281E-2</v>
      </c>
      <c r="K21" s="46" t="s">
        <v>19</v>
      </c>
      <c r="L21" s="47" t="s">
        <v>21</v>
      </c>
      <c r="M21" s="47" t="s">
        <v>20</v>
      </c>
      <c r="N21" s="48" t="s">
        <v>22</v>
      </c>
    </row>
    <row r="22" spans="1:14" ht="15.75" thickTop="1">
      <c r="A22" s="18">
        <v>15</v>
      </c>
      <c r="B22" s="7">
        <v>316</v>
      </c>
      <c r="C22" s="7">
        <v>372</v>
      </c>
      <c r="D22" s="22">
        <f t="shared" si="0"/>
        <v>2515.4560000000124</v>
      </c>
      <c r="E22" s="25">
        <f t="shared" si="3"/>
        <v>0.57692307692307687</v>
      </c>
      <c r="F22" s="25">
        <f t="shared" si="1"/>
        <v>0.60767210318835874</v>
      </c>
      <c r="G22" s="25">
        <f t="shared" si="2"/>
        <v>0.57307837585233345</v>
      </c>
      <c r="H22" s="25">
        <f t="shared" si="4"/>
        <v>3.0749026265281865E-2</v>
      </c>
      <c r="I22" s="28">
        <f t="shared" si="5"/>
        <v>3.844701070743417E-3</v>
      </c>
      <c r="K22" s="39">
        <v>1E-3</v>
      </c>
      <c r="L22" s="40">
        <f t="shared" ref="L22:L32" si="6">$L$11+(-LN(-LN(K22)))*$L$12</f>
        <v>73.962163409881839</v>
      </c>
      <c r="M22" s="40">
        <f t="shared" ref="M22:M32" si="7">IF($L$8&gt;0,$L$17+$L$16*GAMMAINV(K22,$L$15,1),$L$17+$L$16*GAMMAINV(1-K22,$L$15,1))</f>
        <v>19.166862311404003</v>
      </c>
      <c r="N22" s="41"/>
    </row>
    <row r="23" spans="1:14">
      <c r="A23" s="18">
        <v>16</v>
      </c>
      <c r="B23" s="7">
        <v>604</v>
      </c>
      <c r="C23" s="7">
        <v>378</v>
      </c>
      <c r="D23" s="22">
        <f t="shared" si="0"/>
        <v>7529.5360000000255</v>
      </c>
      <c r="E23" s="25">
        <f t="shared" si="3"/>
        <v>0.61538461538461542</v>
      </c>
      <c r="F23" s="25">
        <f t="shared" si="1"/>
        <v>0.62348132411245516</v>
      </c>
      <c r="G23" s="25">
        <f t="shared" si="2"/>
        <v>0.58884881820873858</v>
      </c>
      <c r="H23" s="25">
        <f t="shared" si="4"/>
        <v>8.0967087278397409E-3</v>
      </c>
      <c r="I23" s="28">
        <f t="shared" si="5"/>
        <v>2.6535797175876841E-2</v>
      </c>
      <c r="K23" s="42">
        <v>0.01</v>
      </c>
      <c r="L23" s="38">
        <f t="shared" si="6"/>
        <v>119.91813147137091</v>
      </c>
      <c r="M23" s="38">
        <f t="shared" si="7"/>
        <v>79.629818521951478</v>
      </c>
      <c r="N23" s="43"/>
    </row>
    <row r="24" spans="1:14">
      <c r="A24" s="18">
        <v>17</v>
      </c>
      <c r="B24" s="7">
        <v>378</v>
      </c>
      <c r="C24" s="7">
        <v>382</v>
      </c>
      <c r="D24" s="22">
        <f t="shared" si="0"/>
        <v>13144.256000000038</v>
      </c>
      <c r="E24" s="25">
        <f t="shared" si="3"/>
        <v>0.65384615384615385</v>
      </c>
      <c r="F24" s="25">
        <f t="shared" si="1"/>
        <v>0.63377948574254883</v>
      </c>
      <c r="G24" s="25">
        <f t="shared" si="2"/>
        <v>0.59922202696401727</v>
      </c>
      <c r="H24" s="25">
        <f t="shared" si="4"/>
        <v>2.0066668103605023E-2</v>
      </c>
      <c r="I24" s="28">
        <f t="shared" si="5"/>
        <v>5.4624126882136581E-2</v>
      </c>
      <c r="K24" s="42">
        <v>0.05</v>
      </c>
      <c r="L24" s="38">
        <f t="shared" si="6"/>
        <v>168.65388910187698</v>
      </c>
      <c r="M24" s="38">
        <f t="shared" si="7"/>
        <v>144.08904405323983</v>
      </c>
      <c r="N24" s="43"/>
    </row>
    <row r="25" spans="1:14">
      <c r="A25" s="18">
        <v>18</v>
      </c>
      <c r="B25" s="7">
        <v>259</v>
      </c>
      <c r="C25" s="7">
        <v>404</v>
      </c>
      <c r="D25" s="22">
        <f t="shared" si="0"/>
        <v>94818.816000000137</v>
      </c>
      <c r="E25" s="25">
        <f t="shared" si="3"/>
        <v>0.69230769230769229</v>
      </c>
      <c r="F25" s="25">
        <f t="shared" si="1"/>
        <v>0.68688140989605295</v>
      </c>
      <c r="G25" s="25">
        <f t="shared" si="2"/>
        <v>0.65402343287844023</v>
      </c>
      <c r="H25" s="25">
        <f t="shared" si="4"/>
        <v>5.4262824116393382E-3</v>
      </c>
      <c r="I25" s="28">
        <f t="shared" si="5"/>
        <v>3.8284259429252065E-2</v>
      </c>
      <c r="K25" s="42">
        <v>0.1</v>
      </c>
      <c r="L25" s="38">
        <f t="shared" si="6"/>
        <v>198.48037777747328</v>
      </c>
      <c r="M25" s="38">
        <f t="shared" si="7"/>
        <v>182.78527520002359</v>
      </c>
      <c r="N25" s="43"/>
    </row>
    <row r="26" spans="1:14">
      <c r="A26" s="18">
        <v>19</v>
      </c>
      <c r="B26" s="7">
        <v>661</v>
      </c>
      <c r="C26" s="7">
        <v>407</v>
      </c>
      <c r="D26" s="22">
        <f t="shared" si="0"/>
        <v>114791.25600000017</v>
      </c>
      <c r="E26" s="25">
        <f t="shared" si="3"/>
        <v>0.73076923076923073</v>
      </c>
      <c r="F26" s="25">
        <f t="shared" si="1"/>
        <v>0.69365361419839233</v>
      </c>
      <c r="G26" s="25">
        <f t="shared" si="2"/>
        <v>0.66117609123281063</v>
      </c>
      <c r="H26" s="25">
        <f t="shared" si="4"/>
        <v>3.7115616570838394E-2</v>
      </c>
      <c r="I26" s="28">
        <f t="shared" si="5"/>
        <v>6.9593139536420101E-2</v>
      </c>
      <c r="K26" s="42">
        <v>0.2</v>
      </c>
      <c r="L26" s="38">
        <f t="shared" si="6"/>
        <v>239.073297959092</v>
      </c>
      <c r="M26" s="38">
        <f t="shared" si="7"/>
        <v>233.87765049112721</v>
      </c>
      <c r="N26" s="43"/>
    </row>
    <row r="27" spans="1:14">
      <c r="A27" s="18">
        <v>20</v>
      </c>
      <c r="B27" s="7">
        <v>132</v>
      </c>
      <c r="C27" s="7">
        <v>490</v>
      </c>
      <c r="D27" s="22">
        <f t="shared" si="0"/>
        <v>2279122.4960000012</v>
      </c>
      <c r="E27" s="25">
        <f t="shared" si="3"/>
        <v>0.76923076923076927</v>
      </c>
      <c r="F27" s="25">
        <f t="shared" si="1"/>
        <v>0.83872805647159854</v>
      </c>
      <c r="G27" s="25">
        <f t="shared" si="2"/>
        <v>0.82376138059971571</v>
      </c>
      <c r="H27" s="25">
        <f t="shared" si="4"/>
        <v>6.9497287240829264E-2</v>
      </c>
      <c r="I27" s="28">
        <f t="shared" si="5"/>
        <v>5.4530611368946436E-2</v>
      </c>
      <c r="K27" s="42">
        <v>0.5</v>
      </c>
      <c r="L27" s="38">
        <f t="shared" si="6"/>
        <v>334.55182606030962</v>
      </c>
      <c r="M27" s="38">
        <f t="shared" si="7"/>
        <v>345.17301845971258</v>
      </c>
      <c r="N27" s="43">
        <f t="shared" ref="N27:N32" si="8">1/(1-K27)</f>
        <v>2</v>
      </c>
    </row>
    <row r="28" spans="1:14">
      <c r="A28" s="18">
        <v>21</v>
      </c>
      <c r="B28" s="7">
        <v>407</v>
      </c>
      <c r="C28" s="7">
        <v>538</v>
      </c>
      <c r="D28" s="22">
        <f t="shared" si="0"/>
        <v>5793206.336000002</v>
      </c>
      <c r="E28" s="25">
        <f t="shared" si="3"/>
        <v>0.80769230769230771</v>
      </c>
      <c r="F28" s="25">
        <f t="shared" si="1"/>
        <v>0.89123214483551927</v>
      </c>
      <c r="G28" s="25">
        <f t="shared" si="2"/>
        <v>0.88647651657852533</v>
      </c>
      <c r="H28" s="25">
        <f t="shared" si="4"/>
        <v>8.3539837143211559E-2</v>
      </c>
      <c r="I28" s="28">
        <f t="shared" si="5"/>
        <v>7.8784208886217622E-2</v>
      </c>
      <c r="K28" s="42">
        <v>0.8</v>
      </c>
      <c r="L28" s="38">
        <f t="shared" si="6"/>
        <v>463.01599476851163</v>
      </c>
      <c r="M28" s="38">
        <f t="shared" si="7"/>
        <v>475.24305899552053</v>
      </c>
      <c r="N28" s="43">
        <f t="shared" si="8"/>
        <v>5.0000000000000009</v>
      </c>
    </row>
    <row r="29" spans="1:14">
      <c r="A29" s="18">
        <v>22</v>
      </c>
      <c r="B29" s="7">
        <v>260</v>
      </c>
      <c r="C29" s="7">
        <v>543</v>
      </c>
      <c r="D29" s="22">
        <f t="shared" si="0"/>
        <v>6290643.7360000024</v>
      </c>
      <c r="E29" s="25">
        <f t="shared" si="3"/>
        <v>0.84615384615384615</v>
      </c>
      <c r="F29" s="25">
        <f t="shared" si="1"/>
        <v>0.89567204339974704</v>
      </c>
      <c r="G29" s="25">
        <f t="shared" si="2"/>
        <v>0.8918202458842468</v>
      </c>
      <c r="H29" s="25">
        <f t="shared" si="4"/>
        <v>4.9518197245900897E-2</v>
      </c>
      <c r="I29" s="28">
        <f t="shared" si="5"/>
        <v>4.5666399730400653E-2</v>
      </c>
      <c r="K29" s="42">
        <v>0.9</v>
      </c>
      <c r="L29" s="38">
        <f t="shared" si="6"/>
        <v>548.07045248949203</v>
      </c>
      <c r="M29" s="38">
        <f t="shared" si="7"/>
        <v>551.05824977673933</v>
      </c>
      <c r="N29" s="43">
        <f t="shared" si="8"/>
        <v>10.000000000000002</v>
      </c>
    </row>
    <row r="30" spans="1:14">
      <c r="A30" s="18">
        <v>23</v>
      </c>
      <c r="B30" s="7">
        <v>189</v>
      </c>
      <c r="C30" s="7">
        <v>604</v>
      </c>
      <c r="D30" s="22">
        <f t="shared" si="0"/>
        <v>14814434.816000003</v>
      </c>
      <c r="E30" s="25">
        <f t="shared" si="3"/>
        <v>0.88461538461538458</v>
      </c>
      <c r="F30" s="25">
        <f t="shared" si="1"/>
        <v>0.93770149133354175</v>
      </c>
      <c r="G30" s="25">
        <f t="shared" si="2"/>
        <v>0.94193367274060724</v>
      </c>
      <c r="H30" s="25">
        <f t="shared" si="4"/>
        <v>5.3086106718157167E-2</v>
      </c>
      <c r="I30" s="28">
        <f t="shared" si="5"/>
        <v>5.7318288125222661E-2</v>
      </c>
      <c r="K30" s="42">
        <v>0.95</v>
      </c>
      <c r="L30" s="38">
        <f t="shared" si="6"/>
        <v>629.65673036954638</v>
      </c>
      <c r="M30" s="38">
        <f t="shared" si="7"/>
        <v>617.84692579927787</v>
      </c>
      <c r="N30" s="43">
        <f t="shared" si="8"/>
        <v>19.999999999999982</v>
      </c>
    </row>
    <row r="31" spans="1:14">
      <c r="A31" s="18">
        <v>24</v>
      </c>
      <c r="B31" s="7">
        <v>186</v>
      </c>
      <c r="C31" s="7">
        <v>604</v>
      </c>
      <c r="D31" s="22">
        <f t="shared" si="0"/>
        <v>14814434.816000003</v>
      </c>
      <c r="E31" s="25">
        <f t="shared" si="3"/>
        <v>0.92307692307692313</v>
      </c>
      <c r="F31" s="25">
        <f t="shared" si="1"/>
        <v>0.93770149133354175</v>
      </c>
      <c r="G31" s="25">
        <f t="shared" si="2"/>
        <v>0.94193367274060724</v>
      </c>
      <c r="H31" s="25">
        <f t="shared" si="4"/>
        <v>1.462456825661862E-2</v>
      </c>
      <c r="I31" s="28">
        <f t="shared" si="5"/>
        <v>1.8856749663684114E-2</v>
      </c>
      <c r="K31" s="42">
        <v>0.99</v>
      </c>
      <c r="L31" s="38">
        <f t="shared" si="6"/>
        <v>814.39793607269507</v>
      </c>
      <c r="M31" s="38">
        <f t="shared" si="7"/>
        <v>753.58769637135572</v>
      </c>
      <c r="N31" s="43">
        <f t="shared" si="8"/>
        <v>99.999999999999915</v>
      </c>
    </row>
    <row r="32" spans="1:14" ht="15.75" thickBot="1">
      <c r="A32" s="19">
        <v>25</v>
      </c>
      <c r="B32" s="20">
        <v>304</v>
      </c>
      <c r="C32" s="20">
        <v>661</v>
      </c>
      <c r="D32" s="23">
        <f t="shared" si="0"/>
        <v>27708101.576000005</v>
      </c>
      <c r="E32" s="26">
        <f t="shared" si="3"/>
        <v>0.96153846153846156</v>
      </c>
      <c r="F32" s="26">
        <f t="shared" si="1"/>
        <v>0.961845874632276</v>
      </c>
      <c r="G32" s="26">
        <f t="shared" si="2"/>
        <v>0.96919817924838492</v>
      </c>
      <c r="H32" s="26">
        <f t="shared" si="4"/>
        <v>3.0741309381443482E-4</v>
      </c>
      <c r="I32" s="49">
        <f t="shared" si="5"/>
        <v>7.6597177099233527E-3</v>
      </c>
      <c r="J32" s="51"/>
      <c r="K32" s="50">
        <v>0.999</v>
      </c>
      <c r="L32" s="44">
        <f t="shared" si="6"/>
        <v>1075.8884573272003</v>
      </c>
      <c r="M32" s="44">
        <f t="shared" si="7"/>
        <v>922.40153930549036</v>
      </c>
      <c r="N32" s="45">
        <f t="shared" si="8"/>
        <v>999.99999999999909</v>
      </c>
    </row>
    <row r="33" spans="1:13" ht="16.5" customHeight="1" thickTop="1" thickBot="1">
      <c r="G33" s="30" t="s">
        <v>25</v>
      </c>
      <c r="H33" s="31">
        <f>MAX(H8:H32)</f>
        <v>8.3539837143211559E-2</v>
      </c>
      <c r="I33" s="32">
        <f>MAX(I8:I32)</f>
        <v>8.2282729067859994E-2</v>
      </c>
      <c r="J33" s="70" t="s">
        <v>27</v>
      </c>
      <c r="K33" s="71"/>
      <c r="L33" s="71"/>
      <c r="M33" s="71"/>
    </row>
    <row r="34" spans="1:13" ht="16.5" thickTop="1" thickBot="1">
      <c r="G34" s="33" t="s">
        <v>26</v>
      </c>
      <c r="H34" s="33">
        <v>0.26400000000000001</v>
      </c>
      <c r="I34" s="1"/>
      <c r="J34" s="72"/>
      <c r="K34" s="72"/>
      <c r="L34" s="72"/>
      <c r="M34" s="72"/>
    </row>
    <row r="35" spans="1:13" ht="15.75" thickTop="1"/>
    <row r="36" spans="1:13">
      <c r="A36" s="4" t="s">
        <v>29</v>
      </c>
    </row>
    <row r="37" spans="1:13">
      <c r="J37" s="6" t="s">
        <v>17</v>
      </c>
    </row>
    <row r="38" spans="1:13" ht="15.75" thickBot="1">
      <c r="A38" s="2" t="s">
        <v>31</v>
      </c>
      <c r="J38" s="5" t="s">
        <v>36</v>
      </c>
      <c r="K38" s="35">
        <f>AVERAGE(C41:C64)</f>
        <v>8.58</v>
      </c>
    </row>
    <row r="39" spans="1:13" ht="15.75" thickTop="1">
      <c r="A39" s="8" t="s">
        <v>1</v>
      </c>
      <c r="B39" s="9" t="s">
        <v>30</v>
      </c>
      <c r="C39" s="9" t="s">
        <v>3</v>
      </c>
      <c r="D39" s="9" t="s">
        <v>10</v>
      </c>
      <c r="E39" s="9" t="s">
        <v>45</v>
      </c>
      <c r="F39" s="10" t="s">
        <v>46</v>
      </c>
      <c r="G39" s="9" t="s">
        <v>47</v>
      </c>
      <c r="H39" s="54" t="s">
        <v>48</v>
      </c>
      <c r="J39" s="5" t="s">
        <v>37</v>
      </c>
      <c r="K39" s="35">
        <f>STDEV(C41:C64)</f>
        <v>3.1097196853959561</v>
      </c>
    </row>
    <row r="40" spans="1:13" ht="15.75" thickBot="1">
      <c r="A40" s="36" t="s">
        <v>4</v>
      </c>
      <c r="B40" s="55" t="s">
        <v>5</v>
      </c>
      <c r="C40" s="55" t="s">
        <v>5</v>
      </c>
      <c r="D40" s="55"/>
      <c r="E40" s="55"/>
      <c r="F40" s="55"/>
      <c r="G40" s="55" t="s">
        <v>4</v>
      </c>
      <c r="H40" s="37" t="s">
        <v>4</v>
      </c>
      <c r="J40" s="5" t="s">
        <v>38</v>
      </c>
      <c r="K40" s="35">
        <f>K39/K38</f>
        <v>0.36243819177109043</v>
      </c>
    </row>
    <row r="41" spans="1:13" ht="15.75" thickTop="1">
      <c r="A41" s="16">
        <v>1</v>
      </c>
      <c r="B41" s="17">
        <v>6.68</v>
      </c>
      <c r="C41" s="17">
        <v>3.28</v>
      </c>
      <c r="D41" s="24">
        <f t="shared" ref="D41:D64" si="9">(C41-$K$38)^3</f>
        <v>-148.87700000000007</v>
      </c>
      <c r="E41" s="24">
        <f>LOG(C41)</f>
        <v>0.5158738437116791</v>
      </c>
      <c r="F41" s="24">
        <f t="shared" ref="F41:F64" si="10">(E41-$K$44)^3</f>
        <v>-5.8144552897618329E-2</v>
      </c>
      <c r="G41" s="17">
        <f>A41/25</f>
        <v>0.04</v>
      </c>
      <c r="H41" s="27">
        <f t="shared" ref="H41:H64" si="11">IF($K$47&gt;0,GAMMADIST((E41-$K$52)/$K$51,$K$50,1,TRUE),1-GAMMADIST((E41-$K$52)/$K$51,$K$50,1,TRUE))</f>
        <v>2.333721582322823E-2</v>
      </c>
      <c r="J41" s="5" t="s">
        <v>39</v>
      </c>
      <c r="K41" s="35">
        <f>(24/(23*22))*(1/(K39^3))*SUM(D41:D64)</f>
        <v>0.30320722639539971</v>
      </c>
    </row>
    <row r="42" spans="1:13">
      <c r="A42" s="18">
        <v>2</v>
      </c>
      <c r="B42" s="7">
        <v>4.6100000000000003</v>
      </c>
      <c r="C42" s="7">
        <v>4.16</v>
      </c>
      <c r="D42" s="25">
        <f t="shared" si="9"/>
        <v>-86.350887999999998</v>
      </c>
      <c r="E42" s="25">
        <f t="shared" ref="E42:E64" si="12">LOG(C42)</f>
        <v>0.61909333062674277</v>
      </c>
      <c r="F42" s="25">
        <f t="shared" si="10"/>
        <v>-2.2952184817912519E-2</v>
      </c>
      <c r="G42" s="7">
        <f t="shared" ref="G42:G64" si="13">A42/25</f>
        <v>0.08</v>
      </c>
      <c r="H42" s="28">
        <f t="shared" si="11"/>
        <v>6.1681643919895834E-2</v>
      </c>
    </row>
    <row r="43" spans="1:13">
      <c r="A43" s="18">
        <v>3</v>
      </c>
      <c r="B43" s="7">
        <v>4.16</v>
      </c>
      <c r="C43" s="7">
        <v>4.29</v>
      </c>
      <c r="D43" s="25">
        <f t="shared" si="9"/>
        <v>-78.953588999999994</v>
      </c>
      <c r="E43" s="25">
        <f t="shared" si="12"/>
        <v>0.63245729218472424</v>
      </c>
      <c r="F43" s="25">
        <f t="shared" si="10"/>
        <v>-1.9864095375411644E-2</v>
      </c>
      <c r="G43" s="7">
        <f t="shared" si="13"/>
        <v>0.12</v>
      </c>
      <c r="H43" s="28">
        <f t="shared" si="11"/>
        <v>6.9393564642460825E-2</v>
      </c>
      <c r="J43" s="6" t="s">
        <v>40</v>
      </c>
    </row>
    <row r="44" spans="1:13">
      <c r="A44" s="18">
        <v>4</v>
      </c>
      <c r="B44" s="7">
        <v>8.0500000000000007</v>
      </c>
      <c r="C44" s="7">
        <v>4.6100000000000003</v>
      </c>
      <c r="D44" s="25">
        <f t="shared" si="9"/>
        <v>-62.570772999999988</v>
      </c>
      <c r="E44" s="25">
        <f t="shared" si="12"/>
        <v>0.6637009253896482</v>
      </c>
      <c r="F44" s="25">
        <f t="shared" si="10"/>
        <v>-1.3751877076780225E-2</v>
      </c>
      <c r="G44" s="7">
        <f t="shared" si="13"/>
        <v>0.16</v>
      </c>
      <c r="H44" s="28">
        <f t="shared" si="11"/>
        <v>9.0688672408412607E-2</v>
      </c>
      <c r="J44" s="5" t="s">
        <v>41</v>
      </c>
      <c r="K44" s="35">
        <f>AVERAGE(E41:E64)</f>
        <v>0.90328281939881683</v>
      </c>
    </row>
    <row r="45" spans="1:13">
      <c r="A45" s="18">
        <v>5</v>
      </c>
      <c r="B45" s="7">
        <v>13.68</v>
      </c>
      <c r="C45" s="7">
        <v>5.66</v>
      </c>
      <c r="D45" s="25">
        <f t="shared" si="9"/>
        <v>-24.897087999999997</v>
      </c>
      <c r="E45" s="25">
        <f t="shared" si="12"/>
        <v>0.75281643118827146</v>
      </c>
      <c r="F45" s="25">
        <f t="shared" si="10"/>
        <v>-3.4065791887429465E-3</v>
      </c>
      <c r="G45" s="7">
        <f t="shared" si="13"/>
        <v>0.2</v>
      </c>
      <c r="H45" s="28">
        <f t="shared" si="11"/>
        <v>0.18241252257040408</v>
      </c>
      <c r="J45" s="5" t="s">
        <v>42</v>
      </c>
      <c r="K45" s="35">
        <f>STDEV(E41:E64)</f>
        <v>0.17166538114939911</v>
      </c>
    </row>
    <row r="46" spans="1:13">
      <c r="A46" s="18">
        <v>6</v>
      </c>
      <c r="B46" s="7">
        <v>12.13</v>
      </c>
      <c r="C46" s="7">
        <v>6.6</v>
      </c>
      <c r="D46" s="25">
        <f t="shared" si="9"/>
        <v>-7.7623920000000046</v>
      </c>
      <c r="E46" s="25">
        <f t="shared" si="12"/>
        <v>0.81954393554186866</v>
      </c>
      <c r="F46" s="25">
        <f t="shared" si="10"/>
        <v>-5.8719385745387273E-4</v>
      </c>
      <c r="G46" s="7">
        <f t="shared" si="13"/>
        <v>0.24</v>
      </c>
      <c r="H46" s="28">
        <f t="shared" si="11"/>
        <v>0.28722230814785865</v>
      </c>
      <c r="J46" s="5" t="s">
        <v>43</v>
      </c>
      <c r="K46" s="35">
        <f>K45/K44</f>
        <v>0.19004610456739521</v>
      </c>
    </row>
    <row r="47" spans="1:13">
      <c r="A47" s="18">
        <v>7</v>
      </c>
      <c r="B47" s="7">
        <v>9.51</v>
      </c>
      <c r="C47" s="7">
        <v>6.68</v>
      </c>
      <c r="D47" s="25">
        <f t="shared" si="9"/>
        <v>-6.8590000000000035</v>
      </c>
      <c r="E47" s="25">
        <f t="shared" si="12"/>
        <v>0.8247764624755457</v>
      </c>
      <c r="F47" s="25">
        <f t="shared" si="10"/>
        <v>-4.8385415336820586E-4</v>
      </c>
      <c r="G47" s="7">
        <f t="shared" si="13"/>
        <v>0.28000000000000003</v>
      </c>
      <c r="H47" s="28">
        <f t="shared" si="11"/>
        <v>0.29682099723565225</v>
      </c>
      <c r="J47" s="5" t="s">
        <v>44</v>
      </c>
      <c r="K47" s="35">
        <f>(24/(23*22))*(1/(K45^3))*SUM(F41:F64)</f>
        <v>-0.5739652501572049</v>
      </c>
    </row>
    <row r="48" spans="1:13">
      <c r="A48" s="18">
        <v>8</v>
      </c>
      <c r="B48" s="7">
        <v>11.6</v>
      </c>
      <c r="C48" s="7">
        <v>7.08</v>
      </c>
      <c r="D48" s="25">
        <f t="shared" si="9"/>
        <v>-3.375</v>
      </c>
      <c r="E48" s="25">
        <f t="shared" si="12"/>
        <v>0.85003325768976901</v>
      </c>
      <c r="F48" s="25">
        <f t="shared" si="10"/>
        <v>-1.5098997475152345E-4</v>
      </c>
      <c r="G48" s="7">
        <f t="shared" si="13"/>
        <v>0.32</v>
      </c>
      <c r="H48" s="28">
        <f t="shared" si="11"/>
        <v>0.34583188226979211</v>
      </c>
    </row>
    <row r="49" spans="1:14">
      <c r="A49" s="18">
        <v>9</v>
      </c>
      <c r="B49" s="7">
        <v>11.87</v>
      </c>
      <c r="C49" s="7">
        <v>7.56</v>
      </c>
      <c r="D49" s="25">
        <f t="shared" si="9"/>
        <v>-1.0612080000000015</v>
      </c>
      <c r="E49" s="25">
        <f t="shared" si="12"/>
        <v>0.87852179550120646</v>
      </c>
      <c r="F49" s="25">
        <f t="shared" si="10"/>
        <v>-1.5181189378508696E-5</v>
      </c>
      <c r="G49" s="7">
        <f t="shared" si="13"/>
        <v>0.36</v>
      </c>
      <c r="H49" s="28">
        <f t="shared" si="11"/>
        <v>0.40601160816633652</v>
      </c>
      <c r="J49" s="6" t="s">
        <v>49</v>
      </c>
    </row>
    <row r="50" spans="1:14">
      <c r="A50" s="18">
        <v>10</v>
      </c>
      <c r="B50" s="7">
        <v>9.4600000000000009</v>
      </c>
      <c r="C50" s="7">
        <v>8.0299999999999994</v>
      </c>
      <c r="D50" s="25">
        <f t="shared" si="9"/>
        <v>-0.16637500000000063</v>
      </c>
      <c r="E50" s="25">
        <f t="shared" si="12"/>
        <v>0.90471554527868092</v>
      </c>
      <c r="F50" s="25">
        <f t="shared" si="10"/>
        <v>2.9409613519629262E-9</v>
      </c>
      <c r="G50" s="7">
        <f t="shared" si="13"/>
        <v>0.4</v>
      </c>
      <c r="H50" s="28">
        <f t="shared" si="11"/>
        <v>0.46513342070302743</v>
      </c>
      <c r="J50" s="34" t="s">
        <v>13</v>
      </c>
      <c r="K50" s="35">
        <f>4/(K47^2)</f>
        <v>12.14195984639499</v>
      </c>
    </row>
    <row r="51" spans="1:14">
      <c r="A51" s="18">
        <v>11</v>
      </c>
      <c r="B51" s="7">
        <v>15.5</v>
      </c>
      <c r="C51" s="7">
        <v>8.0500000000000007</v>
      </c>
      <c r="D51" s="25">
        <f t="shared" si="9"/>
        <v>-0.14887699999999945</v>
      </c>
      <c r="E51" s="25">
        <f t="shared" si="12"/>
        <v>0.90579588036786851</v>
      </c>
      <c r="F51" s="25">
        <f t="shared" si="10"/>
        <v>1.5871174814619845E-8</v>
      </c>
      <c r="G51" s="7">
        <f t="shared" si="13"/>
        <v>0.44</v>
      </c>
      <c r="H51" s="28">
        <f t="shared" si="11"/>
        <v>0.46763498013721483</v>
      </c>
      <c r="J51" s="34" t="s">
        <v>15</v>
      </c>
      <c r="K51" s="35">
        <f>K45*K47/2</f>
        <v>-4.9264981717373396E-2</v>
      </c>
    </row>
    <row r="52" spans="1:14">
      <c r="A52" s="18">
        <v>12</v>
      </c>
      <c r="B52" s="7">
        <v>8.0299999999999994</v>
      </c>
      <c r="C52" s="7">
        <v>8.2100000000000009</v>
      </c>
      <c r="D52" s="25">
        <f t="shared" si="9"/>
        <v>-5.0652999999999677E-2</v>
      </c>
      <c r="E52" s="25">
        <f t="shared" si="12"/>
        <v>0.91434315711944081</v>
      </c>
      <c r="F52" s="25">
        <f t="shared" si="10"/>
        <v>1.3530229533919494E-6</v>
      </c>
      <c r="G52" s="7">
        <f t="shared" si="13"/>
        <v>0.48</v>
      </c>
      <c r="H52" s="28">
        <f t="shared" si="11"/>
        <v>0.48757148509900583</v>
      </c>
      <c r="J52" s="34" t="s">
        <v>16</v>
      </c>
      <c r="K52" s="35">
        <f>K44-K50*K51</f>
        <v>1.5014562492445478</v>
      </c>
    </row>
    <row r="53" spans="1:14">
      <c r="A53" s="18">
        <v>13</v>
      </c>
      <c r="B53" s="7">
        <v>8.2100000000000009</v>
      </c>
      <c r="C53" s="7">
        <v>8.76</v>
      </c>
      <c r="D53" s="25">
        <f t="shared" si="9"/>
        <v>5.8319999999999726E-3</v>
      </c>
      <c r="E53" s="25">
        <f t="shared" si="12"/>
        <v>0.94250410616808067</v>
      </c>
      <c r="F53" s="25">
        <f t="shared" si="10"/>
        <v>6.0334471600692141E-5</v>
      </c>
      <c r="G53" s="7">
        <f t="shared" si="13"/>
        <v>0.52</v>
      </c>
      <c r="H53" s="28">
        <f t="shared" si="11"/>
        <v>0.5546021931556524</v>
      </c>
    </row>
    <row r="54" spans="1:14" ht="15" customHeight="1">
      <c r="A54" s="18">
        <v>14</v>
      </c>
      <c r="B54" s="7">
        <v>8.76</v>
      </c>
      <c r="C54" s="7">
        <v>8.82</v>
      </c>
      <c r="D54" s="25">
        <f t="shared" si="9"/>
        <v>1.3824000000000038E-2</v>
      </c>
      <c r="E54" s="25">
        <f t="shared" si="12"/>
        <v>0.94546858513181975</v>
      </c>
      <c r="F54" s="25">
        <f t="shared" si="10"/>
        <v>7.5075426791976294E-5</v>
      </c>
      <c r="G54" s="7">
        <f t="shared" si="13"/>
        <v>0.56000000000000005</v>
      </c>
      <c r="H54" s="28">
        <f t="shared" si="11"/>
        <v>0.56173078112397101</v>
      </c>
      <c r="J54" s="65" t="s">
        <v>50</v>
      </c>
      <c r="K54" s="65"/>
      <c r="L54" s="65"/>
      <c r="M54" s="65"/>
      <c r="N54" s="57"/>
    </row>
    <row r="55" spans="1:14" ht="15.75" thickBot="1">
      <c r="A55" s="18">
        <v>15</v>
      </c>
      <c r="B55" s="7">
        <v>9.0299999999999994</v>
      </c>
      <c r="C55" s="7">
        <v>9.0299999999999994</v>
      </c>
      <c r="D55" s="25">
        <f t="shared" si="9"/>
        <v>9.1124999999999567E-2</v>
      </c>
      <c r="E55" s="25">
        <f t="shared" si="12"/>
        <v>0.95568775031350572</v>
      </c>
      <c r="F55" s="25">
        <f t="shared" si="10"/>
        <v>1.439184451472166E-4</v>
      </c>
      <c r="G55" s="7">
        <f t="shared" si="13"/>
        <v>0.6</v>
      </c>
      <c r="H55" s="28">
        <f t="shared" si="11"/>
        <v>0.58633210021890303</v>
      </c>
      <c r="J55" s="66"/>
      <c r="K55" s="66"/>
      <c r="L55" s="66"/>
      <c r="M55" s="66"/>
      <c r="N55" s="58"/>
    </row>
    <row r="56" spans="1:14" ht="16.5" thickTop="1" thickBot="1">
      <c r="A56" s="18">
        <v>16</v>
      </c>
      <c r="B56" s="7">
        <v>7.56</v>
      </c>
      <c r="C56" s="7">
        <v>9.3699999999999992</v>
      </c>
      <c r="D56" s="25">
        <f t="shared" si="9"/>
        <v>0.4930389999999984</v>
      </c>
      <c r="E56" s="25">
        <f t="shared" si="12"/>
        <v>0.97173959088777828</v>
      </c>
      <c r="F56" s="25">
        <f t="shared" si="10"/>
        <v>3.2081099199516308E-4</v>
      </c>
      <c r="G56" s="7">
        <f t="shared" si="13"/>
        <v>0.64</v>
      </c>
      <c r="H56" s="28">
        <f t="shared" si="11"/>
        <v>0.6248777042355107</v>
      </c>
      <c r="J56" s="46" t="s">
        <v>51</v>
      </c>
      <c r="K56" s="47" t="s">
        <v>52</v>
      </c>
      <c r="L56" s="47" t="s">
        <v>22</v>
      </c>
      <c r="M56" s="47" t="s">
        <v>53</v>
      </c>
      <c r="N56" s="48" t="s">
        <v>54</v>
      </c>
    </row>
    <row r="57" spans="1:14" ht="15.75" thickTop="1">
      <c r="A57" s="18">
        <v>17</v>
      </c>
      <c r="B57" s="7">
        <v>6.6</v>
      </c>
      <c r="C57" s="7">
        <v>9.4600000000000009</v>
      </c>
      <c r="D57" s="25">
        <f t="shared" si="9"/>
        <v>0.68147200000000185</v>
      </c>
      <c r="E57" s="25">
        <f t="shared" si="12"/>
        <v>0.97589113640179281</v>
      </c>
      <c r="F57" s="25">
        <f t="shared" si="10"/>
        <v>3.827887018461713E-4</v>
      </c>
      <c r="G57" s="7">
        <f t="shared" si="13"/>
        <v>0.68</v>
      </c>
      <c r="H57" s="28">
        <f t="shared" si="11"/>
        <v>0.63478858469837718</v>
      </c>
      <c r="J57" s="16">
        <v>1E-3</v>
      </c>
      <c r="K57" s="17">
        <f>1-J57</f>
        <v>0.999</v>
      </c>
      <c r="L57" s="17"/>
      <c r="M57" s="24">
        <f t="shared" ref="M57:M67" si="14">IF($K$47&gt;0,$K$52+$K$51*GAMMAINV(J57,$K$50,1),$K$52+$K$51*GAMMAINV(1-J57,$K$50,1))</f>
        <v>0.23069897004173301</v>
      </c>
      <c r="N57" s="27">
        <f>10^M57</f>
        <v>1.7009790709795938</v>
      </c>
    </row>
    <row r="58" spans="1:14">
      <c r="A58" s="18">
        <v>18</v>
      </c>
      <c r="B58" s="7">
        <v>5.66</v>
      </c>
      <c r="C58" s="7">
        <v>9.51</v>
      </c>
      <c r="D58" s="25">
        <f t="shared" si="9"/>
        <v>0.80435699999999921</v>
      </c>
      <c r="E58" s="25">
        <f t="shared" si="12"/>
        <v>0.97818051693741392</v>
      </c>
      <c r="F58" s="25">
        <f t="shared" si="10"/>
        <v>4.2015099969671158E-4</v>
      </c>
      <c r="G58" s="7">
        <f t="shared" si="13"/>
        <v>0.72</v>
      </c>
      <c r="H58" s="28">
        <f t="shared" si="11"/>
        <v>0.64023855525555939</v>
      </c>
      <c r="J58" s="18">
        <v>0.01</v>
      </c>
      <c r="K58" s="7">
        <f t="shared" ref="K58:K67" si="15">1-J58</f>
        <v>0.99</v>
      </c>
      <c r="L58" s="7"/>
      <c r="M58" s="25">
        <f t="shared" si="14"/>
        <v>0.43340731277212985</v>
      </c>
      <c r="N58" s="28">
        <f t="shared" ref="N58:N67" si="16">10^M58</f>
        <v>2.7127346379180253</v>
      </c>
    </row>
    <row r="59" spans="1:14">
      <c r="A59" s="18">
        <v>19</v>
      </c>
      <c r="B59" s="7">
        <v>8.82</v>
      </c>
      <c r="C59" s="7">
        <v>11.6</v>
      </c>
      <c r="D59" s="25">
        <f t="shared" si="9"/>
        <v>27.543607999999992</v>
      </c>
      <c r="E59" s="25">
        <f t="shared" si="12"/>
        <v>1.0644579892269184</v>
      </c>
      <c r="F59" s="25">
        <f t="shared" si="10"/>
        <v>4.1869175573160241E-3</v>
      </c>
      <c r="G59" s="7">
        <f t="shared" si="13"/>
        <v>0.76</v>
      </c>
      <c r="H59" s="28">
        <f t="shared" si="11"/>
        <v>0.82675883714960585</v>
      </c>
      <c r="J59" s="18">
        <v>0.05</v>
      </c>
      <c r="K59" s="7">
        <f t="shared" si="15"/>
        <v>0.95</v>
      </c>
      <c r="L59" s="7"/>
      <c r="M59" s="25">
        <f t="shared" si="14"/>
        <v>0.59579661075387103</v>
      </c>
      <c r="N59" s="28">
        <f t="shared" si="16"/>
        <v>3.9427261266922811</v>
      </c>
    </row>
    <row r="60" spans="1:14">
      <c r="A60" s="18">
        <v>20</v>
      </c>
      <c r="B60" s="7">
        <v>3.28</v>
      </c>
      <c r="C60" s="7">
        <v>11.87</v>
      </c>
      <c r="D60" s="25">
        <f t="shared" si="9"/>
        <v>35.611288999999971</v>
      </c>
      <c r="E60" s="25">
        <f t="shared" si="12"/>
        <v>1.0744507189545911</v>
      </c>
      <c r="F60" s="25">
        <f t="shared" si="10"/>
        <v>5.0149541190681246E-3</v>
      </c>
      <c r="G60" s="7">
        <f t="shared" si="13"/>
        <v>0.8</v>
      </c>
      <c r="H60" s="28">
        <f t="shared" si="11"/>
        <v>0.84466237851396031</v>
      </c>
      <c r="J60" s="18">
        <v>0.1</v>
      </c>
      <c r="K60" s="7">
        <f t="shared" si="15"/>
        <v>0.9</v>
      </c>
      <c r="L60" s="7"/>
      <c r="M60" s="25">
        <f t="shared" si="14"/>
        <v>0.67545044655698128</v>
      </c>
      <c r="N60" s="28">
        <f t="shared" si="16"/>
        <v>4.7364226202649702</v>
      </c>
    </row>
    <row r="61" spans="1:14">
      <c r="A61" s="18">
        <v>21</v>
      </c>
      <c r="B61" s="7">
        <v>11.98</v>
      </c>
      <c r="C61" s="7">
        <v>11.98</v>
      </c>
      <c r="D61" s="25">
        <f t="shared" si="9"/>
        <v>39.304000000000009</v>
      </c>
      <c r="E61" s="25">
        <f t="shared" si="12"/>
        <v>1.0784568180532925</v>
      </c>
      <c r="F61" s="25">
        <f t="shared" si="10"/>
        <v>5.3753770263020298E-3</v>
      </c>
      <c r="G61" s="7">
        <f t="shared" si="13"/>
        <v>0.84</v>
      </c>
      <c r="H61" s="28">
        <f t="shared" si="11"/>
        <v>0.85155972736081365</v>
      </c>
      <c r="J61" s="18">
        <v>0.2</v>
      </c>
      <c r="K61" s="7">
        <f t="shared" si="15"/>
        <v>0.8</v>
      </c>
      <c r="L61" s="7"/>
      <c r="M61" s="25">
        <f t="shared" si="14"/>
        <v>0.76563198338762006</v>
      </c>
      <c r="N61" s="28">
        <f t="shared" si="16"/>
        <v>5.8295090839804589</v>
      </c>
    </row>
    <row r="62" spans="1:14">
      <c r="A62" s="18">
        <v>22</v>
      </c>
      <c r="B62" s="7">
        <v>7.08</v>
      </c>
      <c r="C62" s="7">
        <v>12.13</v>
      </c>
      <c r="D62" s="25">
        <f t="shared" si="9"/>
        <v>44.738875000000021</v>
      </c>
      <c r="E62" s="25">
        <f t="shared" si="12"/>
        <v>1.0838608008665731</v>
      </c>
      <c r="F62" s="25">
        <f t="shared" si="10"/>
        <v>5.888360385539507E-3</v>
      </c>
      <c r="G62" s="7">
        <f t="shared" si="13"/>
        <v>0.88</v>
      </c>
      <c r="H62" s="28">
        <f t="shared" si="11"/>
        <v>0.86060201295663941</v>
      </c>
      <c r="J62" s="18">
        <v>0.5</v>
      </c>
      <c r="K62" s="7">
        <f t="shared" si="15"/>
        <v>0.5</v>
      </c>
      <c r="L62" s="7">
        <f t="shared" ref="L62:L67" si="17">1/K62</f>
        <v>2</v>
      </c>
      <c r="M62" s="25">
        <f t="shared" si="14"/>
        <v>0.91962189564268482</v>
      </c>
      <c r="N62" s="28">
        <f t="shared" si="16"/>
        <v>8.3103993818016644</v>
      </c>
    </row>
    <row r="63" spans="1:14">
      <c r="A63" s="18">
        <v>23</v>
      </c>
      <c r="B63" s="7">
        <v>4.29</v>
      </c>
      <c r="C63" s="7">
        <v>13.68</v>
      </c>
      <c r="D63" s="25">
        <f t="shared" si="9"/>
        <v>132.65099999999998</v>
      </c>
      <c r="E63" s="25">
        <f t="shared" si="12"/>
        <v>1.1360860973840974</v>
      </c>
      <c r="F63" s="25">
        <f t="shared" si="10"/>
        <v>1.2617324519001836E-2</v>
      </c>
      <c r="G63" s="7">
        <f t="shared" si="13"/>
        <v>0.92</v>
      </c>
      <c r="H63" s="28">
        <f t="shared" si="11"/>
        <v>0.9316432986980443</v>
      </c>
      <c r="J63" s="18">
        <v>0.8</v>
      </c>
      <c r="K63" s="7">
        <f t="shared" si="15"/>
        <v>0.19999999999999996</v>
      </c>
      <c r="L63" s="7">
        <f t="shared" si="17"/>
        <v>5.0000000000000009</v>
      </c>
      <c r="M63" s="25">
        <f t="shared" si="14"/>
        <v>1.0504153971046122</v>
      </c>
      <c r="N63" s="28">
        <f t="shared" si="16"/>
        <v>11.230921639829861</v>
      </c>
    </row>
    <row r="64" spans="1:14" ht="15.75" thickBot="1">
      <c r="A64" s="19">
        <v>24</v>
      </c>
      <c r="B64" s="20">
        <v>9.3699999999999992</v>
      </c>
      <c r="C64" s="20">
        <v>15.5</v>
      </c>
      <c r="D64" s="26">
        <f t="shared" si="9"/>
        <v>331.37388800000002</v>
      </c>
      <c r="E64" s="26">
        <f t="shared" si="12"/>
        <v>1.1903316981702914</v>
      </c>
      <c r="F64" s="26">
        <f t="shared" si="10"/>
        <v>2.3651983343744173E-2</v>
      </c>
      <c r="G64" s="20">
        <f t="shared" si="13"/>
        <v>0.96</v>
      </c>
      <c r="H64" s="29">
        <f t="shared" si="11"/>
        <v>0.97465622192299484</v>
      </c>
      <c r="J64" s="18">
        <v>0.9</v>
      </c>
      <c r="K64" s="7">
        <f t="shared" si="15"/>
        <v>9.9999999999999978E-2</v>
      </c>
      <c r="L64" s="7">
        <f t="shared" si="17"/>
        <v>10.000000000000002</v>
      </c>
      <c r="M64" s="25">
        <f t="shared" si="14"/>
        <v>1.1100556932898664</v>
      </c>
      <c r="N64" s="28">
        <f t="shared" si="16"/>
        <v>12.884147655267085</v>
      </c>
    </row>
    <row r="65" spans="1:14" ht="15.75" thickTop="1">
      <c r="H65" s="52"/>
      <c r="J65" s="18">
        <v>0.95</v>
      </c>
      <c r="K65" s="7">
        <f t="shared" si="15"/>
        <v>5.0000000000000044E-2</v>
      </c>
      <c r="L65" s="7">
        <f t="shared" si="17"/>
        <v>19.999999999999982</v>
      </c>
      <c r="M65" s="25">
        <f t="shared" si="14"/>
        <v>1.1550113695641686</v>
      </c>
      <c r="N65" s="28">
        <f t="shared" si="16"/>
        <v>14.289313665714957</v>
      </c>
    </row>
    <row r="66" spans="1:14">
      <c r="J66" s="18">
        <v>0.99</v>
      </c>
      <c r="K66" s="7">
        <f t="shared" si="15"/>
        <v>1.0000000000000009E-2</v>
      </c>
      <c r="L66" s="7">
        <f t="shared" si="17"/>
        <v>99.999999999999915</v>
      </c>
      <c r="M66" s="25">
        <f t="shared" si="14"/>
        <v>1.2293849553426162</v>
      </c>
      <c r="N66" s="28">
        <f t="shared" si="16"/>
        <v>16.958403144633806</v>
      </c>
    </row>
    <row r="67" spans="1:14" ht="15.75" thickBot="1">
      <c r="J67" s="19">
        <v>0.999</v>
      </c>
      <c r="K67" s="20">
        <f t="shared" si="15"/>
        <v>1.0000000000000009E-3</v>
      </c>
      <c r="L67" s="20">
        <f t="shared" si="17"/>
        <v>999.99999999999909</v>
      </c>
      <c r="M67" s="26">
        <f t="shared" si="14"/>
        <v>1.2983793566973252</v>
      </c>
      <c r="N67" s="29">
        <f t="shared" si="16"/>
        <v>19.878305313250738</v>
      </c>
    </row>
    <row r="68" spans="1:14" ht="15.75" thickTop="1"/>
    <row r="70" spans="1:14" ht="15.75" thickBot="1">
      <c r="A70" s="2" t="s">
        <v>55</v>
      </c>
      <c r="J70" s="6" t="s">
        <v>17</v>
      </c>
    </row>
    <row r="71" spans="1:14" ht="15.75" thickTop="1">
      <c r="A71" s="8" t="s">
        <v>1</v>
      </c>
      <c r="B71" s="9" t="s">
        <v>30</v>
      </c>
      <c r="C71" s="9" t="s">
        <v>3</v>
      </c>
      <c r="D71" s="9" t="s">
        <v>10</v>
      </c>
      <c r="E71" s="9" t="s">
        <v>45</v>
      </c>
      <c r="F71" s="10" t="s">
        <v>46</v>
      </c>
      <c r="G71" s="9" t="s">
        <v>47</v>
      </c>
      <c r="H71" s="54" t="s">
        <v>48</v>
      </c>
      <c r="J71" s="5" t="s">
        <v>36</v>
      </c>
      <c r="K71" s="35">
        <f>AVERAGE(C73:C97)</f>
        <v>9.2452000000000005</v>
      </c>
    </row>
    <row r="72" spans="1:14" ht="15.75" thickBot="1">
      <c r="A72" s="36" t="s">
        <v>4</v>
      </c>
      <c r="B72" s="55" t="s">
        <v>5</v>
      </c>
      <c r="C72" s="55" t="s">
        <v>5</v>
      </c>
      <c r="D72" s="55"/>
      <c r="E72" s="55"/>
      <c r="F72" s="55"/>
      <c r="G72" s="55" t="s">
        <v>4</v>
      </c>
      <c r="H72" s="37" t="s">
        <v>4</v>
      </c>
      <c r="J72" s="5" t="s">
        <v>37</v>
      </c>
      <c r="K72" s="35">
        <f>STDEV(C73:C97)</f>
        <v>3.6091840259722567</v>
      </c>
    </row>
    <row r="73" spans="1:14" ht="15.75" thickTop="1">
      <c r="A73" s="16">
        <v>1</v>
      </c>
      <c r="B73" s="17">
        <v>7.93</v>
      </c>
      <c r="C73" s="17">
        <v>3.61</v>
      </c>
      <c r="D73" s="24">
        <f t="shared" ref="D73:D97" si="18">(C73-$K$71)^3</f>
        <v>-178.94847548620811</v>
      </c>
      <c r="E73" s="24">
        <f>LOG(C73)</f>
        <v>0.55750720190565795</v>
      </c>
      <c r="F73" s="24">
        <f t="shared" ref="F73:F97" si="19">(E73-$K$77)^3</f>
        <v>-5.3478762634954817E-2</v>
      </c>
      <c r="G73" s="24">
        <f>A73/26</f>
        <v>3.8461538461538464E-2</v>
      </c>
      <c r="H73" s="27">
        <f t="shared" ref="H73:H97" si="20">IF($K$80&gt;0,GAMMADIST((E73-$K$85)/$K$84,$K$83,1,TRUE),1-GAMMADIST((E73-$K$85)/$K$84,$K$83,1,TRUE))</f>
        <v>1.863529914353601E-2</v>
      </c>
      <c r="J73" s="5" t="s">
        <v>38</v>
      </c>
      <c r="K73" s="35">
        <f>K72/K71</f>
        <v>0.39038463483453645</v>
      </c>
    </row>
    <row r="74" spans="1:14">
      <c r="A74" s="18">
        <v>2</v>
      </c>
      <c r="B74" s="7">
        <v>5</v>
      </c>
      <c r="C74" s="7">
        <v>4.6399999999999997</v>
      </c>
      <c r="D74" s="25">
        <f t="shared" si="18"/>
        <v>-97.666469292608056</v>
      </c>
      <c r="E74" s="25">
        <f t="shared" ref="E74:E97" si="21">LOG(C74)</f>
        <v>0.66651798055488087</v>
      </c>
      <c r="F74" s="25">
        <f t="shared" si="19"/>
        <v>-1.9194037386306654E-2</v>
      </c>
      <c r="G74" s="25">
        <f t="shared" ref="G74:G97" si="22">A74/26</f>
        <v>7.6923076923076927E-2</v>
      </c>
      <c r="H74" s="28">
        <f t="shared" si="20"/>
        <v>6.4517939382572109E-2</v>
      </c>
      <c r="J74" s="5" t="s">
        <v>39</v>
      </c>
      <c r="K74" s="35">
        <f>(24/(23*22))*(1/(K72^3))*SUM(D73:D97)</f>
        <v>0.87547761239043242</v>
      </c>
    </row>
    <row r="75" spans="1:14">
      <c r="A75" s="18">
        <v>3</v>
      </c>
      <c r="B75" s="7">
        <v>5.28</v>
      </c>
      <c r="C75" s="7">
        <v>5</v>
      </c>
      <c r="D75" s="25">
        <f t="shared" si="18"/>
        <v>-76.505818649408027</v>
      </c>
      <c r="E75" s="25">
        <f t="shared" si="21"/>
        <v>0.69897000433601886</v>
      </c>
      <c r="F75" s="25">
        <f t="shared" si="19"/>
        <v>-1.3026550430303771E-2</v>
      </c>
      <c r="G75" s="25">
        <f t="shared" si="22"/>
        <v>0.11538461538461539</v>
      </c>
      <c r="H75" s="28">
        <f t="shared" si="20"/>
        <v>8.9199132113802149E-2</v>
      </c>
    </row>
    <row r="76" spans="1:14">
      <c r="A76" s="18">
        <v>4</v>
      </c>
      <c r="B76" s="7">
        <v>8.64</v>
      </c>
      <c r="C76" s="7">
        <v>5.28</v>
      </c>
      <c r="D76" s="25">
        <f t="shared" si="18"/>
        <v>-62.344090335808012</v>
      </c>
      <c r="E76" s="25">
        <f t="shared" si="21"/>
        <v>0.72263392253381231</v>
      </c>
      <c r="F76" s="25">
        <f t="shared" si="19"/>
        <v>-9.4782621397287419E-3</v>
      </c>
      <c r="G76" s="25">
        <f t="shared" si="22"/>
        <v>0.15384615384615385</v>
      </c>
      <c r="H76" s="28">
        <f t="shared" si="20"/>
        <v>0.11144189034529339</v>
      </c>
      <c r="J76" s="6" t="s">
        <v>40</v>
      </c>
    </row>
    <row r="77" spans="1:14">
      <c r="A77" s="18">
        <v>5</v>
      </c>
      <c r="B77" s="7">
        <v>18.66</v>
      </c>
      <c r="C77" s="7">
        <v>5.69</v>
      </c>
      <c r="D77" s="25">
        <f t="shared" si="18"/>
        <v>-44.935762116608004</v>
      </c>
      <c r="E77" s="25">
        <f t="shared" si="21"/>
        <v>0.75511226639507123</v>
      </c>
      <c r="F77" s="25">
        <f t="shared" si="19"/>
        <v>-5.7498823899498341E-3</v>
      </c>
      <c r="G77" s="25">
        <f t="shared" si="22"/>
        <v>0.19230769230769232</v>
      </c>
      <c r="H77" s="28">
        <f t="shared" si="20"/>
        <v>0.14844705712314232</v>
      </c>
      <c r="J77" s="5" t="s">
        <v>41</v>
      </c>
      <c r="K77" s="35">
        <f>AVERAGE(E73:E97)</f>
        <v>0.9342634384811932</v>
      </c>
    </row>
    <row r="78" spans="1:14">
      <c r="A78" s="18">
        <v>6</v>
      </c>
      <c r="B78" s="7">
        <v>12.6</v>
      </c>
      <c r="C78" s="7">
        <v>6.6</v>
      </c>
      <c r="D78" s="25">
        <f t="shared" si="18"/>
        <v>-18.508684057408018</v>
      </c>
      <c r="E78" s="25">
        <f t="shared" si="21"/>
        <v>0.81954393554186866</v>
      </c>
      <c r="F78" s="25">
        <f t="shared" si="19"/>
        <v>-1.509773401165946E-3</v>
      </c>
      <c r="G78" s="25">
        <f t="shared" si="22"/>
        <v>0.23076923076923078</v>
      </c>
      <c r="H78" s="28">
        <f t="shared" si="20"/>
        <v>0.24565741496144144</v>
      </c>
      <c r="J78" s="5" t="s">
        <v>42</v>
      </c>
      <c r="K78" s="35">
        <f>STDEV(E73:E97)</f>
        <v>0.171546970885573</v>
      </c>
    </row>
    <row r="79" spans="1:14">
      <c r="A79" s="18">
        <v>7</v>
      </c>
      <c r="B79" s="7">
        <v>9.9499999999999993</v>
      </c>
      <c r="C79" s="7">
        <v>6.88</v>
      </c>
      <c r="D79" s="25">
        <f t="shared" si="18"/>
        <v>-13.231333343808009</v>
      </c>
      <c r="E79" s="25">
        <f t="shared" si="21"/>
        <v>0.83758843823551132</v>
      </c>
      <c r="F79" s="25">
        <f t="shared" si="19"/>
        <v>-9.0352993443534445E-4</v>
      </c>
      <c r="G79" s="25">
        <f t="shared" si="22"/>
        <v>0.26923076923076922</v>
      </c>
      <c r="H79" s="28">
        <f t="shared" si="20"/>
        <v>0.27850156926576775</v>
      </c>
      <c r="J79" s="5" t="s">
        <v>43</v>
      </c>
      <c r="K79" s="35">
        <f>K78/K77</f>
        <v>0.18361734369532032</v>
      </c>
    </row>
    <row r="80" spans="1:14">
      <c r="A80" s="18">
        <v>8</v>
      </c>
      <c r="B80" s="7">
        <v>12.65</v>
      </c>
      <c r="C80" s="7">
        <v>7.25</v>
      </c>
      <c r="D80" s="25">
        <f t="shared" si="18"/>
        <v>-7.942538129408006</v>
      </c>
      <c r="E80" s="25">
        <f t="shared" si="21"/>
        <v>0.86033800657099369</v>
      </c>
      <c r="F80" s="25">
        <f t="shared" si="19"/>
        <v>-4.0400022941493286E-4</v>
      </c>
      <c r="G80" s="25">
        <f t="shared" si="22"/>
        <v>0.30769230769230771</v>
      </c>
      <c r="H80" s="28">
        <f t="shared" si="20"/>
        <v>0.32308950076021903</v>
      </c>
      <c r="J80" s="5" t="s">
        <v>44</v>
      </c>
      <c r="K80" s="35">
        <f>(24/(23*22))*(1/(K78^3))*SUM(F73:F97)</f>
        <v>-0.20703910017299768</v>
      </c>
    </row>
    <row r="81" spans="1:14">
      <c r="A81" s="18">
        <v>9</v>
      </c>
      <c r="B81" s="7">
        <v>12.85</v>
      </c>
      <c r="C81" s="7">
        <v>7.93</v>
      </c>
      <c r="D81" s="25">
        <f t="shared" si="18"/>
        <v>-2.2749685678080045</v>
      </c>
      <c r="E81" s="25">
        <f t="shared" si="21"/>
        <v>0.89927318731760375</v>
      </c>
      <c r="F81" s="25">
        <f t="shared" si="19"/>
        <v>-4.2839183004444885E-5</v>
      </c>
      <c r="G81" s="25">
        <f t="shared" si="22"/>
        <v>0.34615384615384615</v>
      </c>
      <c r="H81" s="28">
        <f t="shared" si="20"/>
        <v>0.40632613879748236</v>
      </c>
    </row>
    <row r="82" spans="1:14">
      <c r="A82" s="18">
        <v>10</v>
      </c>
      <c r="B82" s="7">
        <v>9.5</v>
      </c>
      <c r="C82" s="7">
        <v>8.19</v>
      </c>
      <c r="D82" s="25">
        <f t="shared" si="18"/>
        <v>-1.1749093166080036</v>
      </c>
      <c r="E82" s="25">
        <f t="shared" si="21"/>
        <v>0.9132839017604184</v>
      </c>
      <c r="F82" s="25">
        <f t="shared" si="19"/>
        <v>-9.2339534540013298E-6</v>
      </c>
      <c r="G82" s="25">
        <f t="shared" si="22"/>
        <v>0.38461538461538464</v>
      </c>
      <c r="H82" s="28">
        <f t="shared" si="20"/>
        <v>0.43791283809846426</v>
      </c>
      <c r="J82" s="6" t="s">
        <v>49</v>
      </c>
    </row>
    <row r="83" spans="1:14">
      <c r="A83" s="18">
        <v>11</v>
      </c>
      <c r="B83" s="7">
        <v>16.36</v>
      </c>
      <c r="C83" s="7">
        <v>8.25</v>
      </c>
      <c r="D83" s="25">
        <f t="shared" si="18"/>
        <v>-0.98566900940800151</v>
      </c>
      <c r="E83" s="25">
        <f t="shared" si="21"/>
        <v>0.91645394854992512</v>
      </c>
      <c r="F83" s="25">
        <f t="shared" si="19"/>
        <v>-5.6487771794632605E-6</v>
      </c>
      <c r="G83" s="25">
        <f t="shared" si="22"/>
        <v>0.42307692307692307</v>
      </c>
      <c r="H83" s="28">
        <f t="shared" si="20"/>
        <v>0.44514705617623773</v>
      </c>
      <c r="J83" s="34" t="s">
        <v>13</v>
      </c>
      <c r="K83" s="35">
        <f>4/(K80^2)</f>
        <v>93.315813910409091</v>
      </c>
    </row>
    <row r="84" spans="1:14">
      <c r="A84" s="18">
        <v>12</v>
      </c>
      <c r="B84" s="7">
        <v>8.25</v>
      </c>
      <c r="C84" s="7">
        <v>8.4700000000000006</v>
      </c>
      <c r="D84" s="25">
        <f t="shared" si="18"/>
        <v>-0.46584484300799983</v>
      </c>
      <c r="E84" s="25">
        <f t="shared" si="21"/>
        <v>0.92788341033070698</v>
      </c>
      <c r="F84" s="25">
        <f t="shared" si="19"/>
        <v>-2.5969750956112099E-7</v>
      </c>
      <c r="G84" s="25">
        <f t="shared" si="22"/>
        <v>0.46153846153846156</v>
      </c>
      <c r="H84" s="28">
        <f t="shared" si="20"/>
        <v>0.47144109295703873</v>
      </c>
      <c r="J84" s="34" t="s">
        <v>15</v>
      </c>
      <c r="K84" s="35">
        <f>K78*K80/2</f>
        <v>-1.7758465244776232E-2</v>
      </c>
    </row>
    <row r="85" spans="1:14">
      <c r="A85" s="18">
        <v>13</v>
      </c>
      <c r="B85" s="7">
        <v>8.4700000000000006</v>
      </c>
      <c r="C85" s="7">
        <v>8.64</v>
      </c>
      <c r="D85" s="25">
        <f t="shared" si="18"/>
        <v>-0.22166481260799994</v>
      </c>
      <c r="E85" s="25">
        <f t="shared" si="21"/>
        <v>0.9365137424788933</v>
      </c>
      <c r="F85" s="25">
        <f t="shared" si="19"/>
        <v>1.1395242588896897E-8</v>
      </c>
      <c r="G85" s="25">
        <f t="shared" si="22"/>
        <v>0.5</v>
      </c>
      <c r="H85" s="28">
        <f t="shared" si="20"/>
        <v>0.49146525790408802</v>
      </c>
      <c r="J85" s="34" t="s">
        <v>16</v>
      </c>
      <c r="K85" s="35">
        <f>K77-K83*K84</f>
        <v>2.5914090765971993</v>
      </c>
    </row>
    <row r="86" spans="1:14">
      <c r="A86" s="18">
        <v>14</v>
      </c>
      <c r="B86" s="7">
        <v>9.67</v>
      </c>
      <c r="C86" s="7">
        <v>9.2200000000000006</v>
      </c>
      <c r="D86" s="25">
        <f t="shared" si="18"/>
        <v>-1.6003007999999788E-5</v>
      </c>
      <c r="E86" s="25">
        <f t="shared" si="21"/>
        <v>0.96473092105362934</v>
      </c>
      <c r="F86" s="25">
        <f t="shared" si="19"/>
        <v>2.8281973705196017E-5</v>
      </c>
      <c r="G86" s="25">
        <f t="shared" si="22"/>
        <v>0.53846153846153844</v>
      </c>
      <c r="H86" s="28">
        <f t="shared" si="20"/>
        <v>0.55730372692304164</v>
      </c>
    </row>
    <row r="87" spans="1:14">
      <c r="A87" s="18">
        <v>15</v>
      </c>
      <c r="B87" s="7">
        <v>9.2200000000000006</v>
      </c>
      <c r="C87" s="7">
        <v>9.5</v>
      </c>
      <c r="D87" s="25">
        <f t="shared" si="18"/>
        <v>1.6542390591999894E-2</v>
      </c>
      <c r="E87" s="25">
        <f t="shared" si="21"/>
        <v>0.97772360528884772</v>
      </c>
      <c r="F87" s="25">
        <f t="shared" si="19"/>
        <v>8.2086958924309369E-5</v>
      </c>
      <c r="G87" s="25">
        <f t="shared" si="22"/>
        <v>0.57692307692307687</v>
      </c>
      <c r="H87" s="28">
        <f t="shared" si="20"/>
        <v>0.58745415068054285</v>
      </c>
      <c r="J87" s="62" t="s">
        <v>56</v>
      </c>
      <c r="K87" s="63"/>
      <c r="L87" s="63"/>
      <c r="M87" s="63"/>
    </row>
    <row r="88" spans="1:14" ht="15.75" thickBot="1">
      <c r="A88" s="18">
        <v>16</v>
      </c>
      <c r="B88" s="7">
        <v>8.19</v>
      </c>
      <c r="C88" s="7">
        <v>9.51</v>
      </c>
      <c r="D88" s="25">
        <f t="shared" si="18"/>
        <v>1.8567521791999844E-2</v>
      </c>
      <c r="E88" s="25">
        <f t="shared" si="21"/>
        <v>0.97818051693741392</v>
      </c>
      <c r="F88" s="25">
        <f t="shared" si="19"/>
        <v>8.4703298733242697E-5</v>
      </c>
      <c r="G88" s="25">
        <f t="shared" si="22"/>
        <v>0.61538461538461542</v>
      </c>
      <c r="H88" s="28">
        <f t="shared" si="20"/>
        <v>0.58850911345726675</v>
      </c>
      <c r="J88" s="64"/>
      <c r="K88" s="64"/>
      <c r="L88" s="64"/>
      <c r="M88" s="64"/>
    </row>
    <row r="89" spans="1:14" ht="16.5" thickTop="1" thickBot="1">
      <c r="A89" s="18">
        <v>17</v>
      </c>
      <c r="B89" s="7">
        <v>6.88</v>
      </c>
      <c r="C89" s="7">
        <v>9.67</v>
      </c>
      <c r="D89" s="25">
        <f t="shared" si="18"/>
        <v>7.6657300991999675E-2</v>
      </c>
      <c r="E89" s="25">
        <f t="shared" si="21"/>
        <v>0.98542647408300166</v>
      </c>
      <c r="F89" s="25">
        <f t="shared" si="19"/>
        <v>1.3392723796743769E-4</v>
      </c>
      <c r="G89" s="25">
        <f t="shared" si="22"/>
        <v>0.65384615384615385</v>
      </c>
      <c r="H89" s="28">
        <f t="shared" si="20"/>
        <v>0.60517550988640223</v>
      </c>
      <c r="J89" s="46" t="s">
        <v>51</v>
      </c>
      <c r="K89" s="47" t="s">
        <v>52</v>
      </c>
      <c r="L89" s="47" t="s">
        <v>22</v>
      </c>
      <c r="M89" s="47" t="s">
        <v>53</v>
      </c>
      <c r="N89" s="48" t="s">
        <v>54</v>
      </c>
    </row>
    <row r="90" spans="1:14" ht="15.75" thickTop="1">
      <c r="A90" s="18">
        <v>18</v>
      </c>
      <c r="B90" s="7">
        <v>6.6</v>
      </c>
      <c r="C90" s="7">
        <v>9.9499999999999993</v>
      </c>
      <c r="D90" s="25">
        <f t="shared" si="18"/>
        <v>0.35010449459199816</v>
      </c>
      <c r="E90" s="25">
        <f t="shared" si="21"/>
        <v>0.99782308074572545</v>
      </c>
      <c r="F90" s="25">
        <f t="shared" si="19"/>
        <v>2.5677003042218639E-4</v>
      </c>
      <c r="G90" s="25">
        <f t="shared" si="22"/>
        <v>0.69230769230769229</v>
      </c>
      <c r="H90" s="28">
        <f t="shared" si="20"/>
        <v>0.63334580527306594</v>
      </c>
      <c r="J90" s="16">
        <v>1E-3</v>
      </c>
      <c r="K90" s="17">
        <f>1-J90</f>
        <v>0.999</v>
      </c>
      <c r="L90" s="17"/>
      <c r="M90" s="24">
        <f t="shared" ref="M90:M100" si="23">IF($K$80&gt;0,$K$85+$K$84*GAMMAINV(J90,$K$83,1),$K$85+$K$84*GAMMAINV(1-J90,$K$83,1))</f>
        <v>0.35320422198708057</v>
      </c>
      <c r="N90" s="27">
        <f>10^M90</f>
        <v>2.2552994914977598</v>
      </c>
    </row>
    <row r="91" spans="1:14">
      <c r="A91" s="18">
        <v>19</v>
      </c>
      <c r="B91" s="7">
        <v>10.8</v>
      </c>
      <c r="C91" s="7">
        <v>10.8</v>
      </c>
      <c r="D91" s="25">
        <f t="shared" si="18"/>
        <v>3.758578246592001</v>
      </c>
      <c r="E91" s="25">
        <f t="shared" si="21"/>
        <v>1.0334237554869496</v>
      </c>
      <c r="F91" s="25">
        <f t="shared" si="19"/>
        <v>9.7502043839872449E-4</v>
      </c>
      <c r="G91" s="25">
        <f t="shared" si="22"/>
        <v>0.73076923076923073</v>
      </c>
      <c r="H91" s="28">
        <f t="shared" si="20"/>
        <v>0.71065361579931352</v>
      </c>
      <c r="J91" s="18">
        <v>0.01</v>
      </c>
      <c r="K91" s="7">
        <f t="shared" ref="K91:K100" si="24">1-J91</f>
        <v>0.99</v>
      </c>
      <c r="L91" s="7"/>
      <c r="M91" s="25">
        <f t="shared" si="23"/>
        <v>0.50928244290908475</v>
      </c>
      <c r="N91" s="28">
        <f t="shared" ref="N91:N100" si="25">10^M91</f>
        <v>3.2305944519937144</v>
      </c>
    </row>
    <row r="92" spans="1:14">
      <c r="A92" s="18">
        <v>20</v>
      </c>
      <c r="B92" s="7">
        <v>3.61</v>
      </c>
      <c r="C92" s="7">
        <v>12.6</v>
      </c>
      <c r="D92" s="25">
        <f t="shared" si="18"/>
        <v>37.757210662591973</v>
      </c>
      <c r="E92" s="25">
        <f t="shared" si="21"/>
        <v>1.1003705451175629</v>
      </c>
      <c r="F92" s="25">
        <f t="shared" si="19"/>
        <v>4.5831560056162363E-3</v>
      </c>
      <c r="G92" s="25">
        <f t="shared" si="22"/>
        <v>0.76923076923076927</v>
      </c>
      <c r="H92" s="28">
        <f t="shared" si="20"/>
        <v>0.83344389472868918</v>
      </c>
      <c r="J92" s="18">
        <v>0.05</v>
      </c>
      <c r="K92" s="7">
        <f t="shared" si="24"/>
        <v>0.95</v>
      </c>
      <c r="L92" s="7"/>
      <c r="M92" s="25">
        <f t="shared" si="23"/>
        <v>0.64236414669769237</v>
      </c>
      <c r="N92" s="28">
        <f t="shared" si="25"/>
        <v>4.3889855064655778</v>
      </c>
    </row>
    <row r="93" spans="1:14">
      <c r="A93" s="18">
        <v>21</v>
      </c>
      <c r="B93" s="7">
        <v>12.93</v>
      </c>
      <c r="C93" s="7">
        <v>12.65</v>
      </c>
      <c r="D93" s="25">
        <f t="shared" si="18"/>
        <v>39.470699118591995</v>
      </c>
      <c r="E93" s="25">
        <f t="shared" si="21"/>
        <v>1.1020905255118367</v>
      </c>
      <c r="F93" s="25">
        <f t="shared" si="19"/>
        <v>4.7270061769318075E-3</v>
      </c>
      <c r="G93" s="25">
        <f t="shared" si="22"/>
        <v>0.80769230769230771</v>
      </c>
      <c r="H93" s="28">
        <f t="shared" si="20"/>
        <v>0.83611765813545258</v>
      </c>
      <c r="J93" s="18">
        <v>0.1</v>
      </c>
      <c r="K93" s="7">
        <f t="shared" si="24"/>
        <v>0.9</v>
      </c>
      <c r="L93" s="7"/>
      <c r="M93" s="25">
        <f t="shared" si="23"/>
        <v>0.71096607643668674</v>
      </c>
      <c r="N93" s="28">
        <f t="shared" si="25"/>
        <v>5.1400350022881822</v>
      </c>
    </row>
    <row r="94" spans="1:14">
      <c r="A94" s="18">
        <v>22</v>
      </c>
      <c r="B94" s="7">
        <v>7.25</v>
      </c>
      <c r="C94" s="7">
        <v>12.85</v>
      </c>
      <c r="D94" s="25">
        <f t="shared" si="18"/>
        <v>46.842872942591967</v>
      </c>
      <c r="E94" s="25">
        <f t="shared" si="21"/>
        <v>1.1089031276673134</v>
      </c>
      <c r="F94" s="25">
        <f t="shared" si="19"/>
        <v>5.3263395547362051E-3</v>
      </c>
      <c r="G94" s="25">
        <f t="shared" si="22"/>
        <v>0.84615384615384615</v>
      </c>
      <c r="H94" s="28">
        <f t="shared" si="20"/>
        <v>0.84645231624582662</v>
      </c>
      <c r="J94" s="18">
        <v>0.2</v>
      </c>
      <c r="K94" s="7">
        <f t="shared" si="24"/>
        <v>0.8</v>
      </c>
      <c r="L94" s="7"/>
      <c r="M94" s="25">
        <f t="shared" si="23"/>
        <v>0.79188067493743164</v>
      </c>
      <c r="N94" s="28">
        <f t="shared" si="25"/>
        <v>6.1927090323538634</v>
      </c>
    </row>
    <row r="95" spans="1:14">
      <c r="A95" s="18">
        <v>23</v>
      </c>
      <c r="B95" s="7">
        <v>4.6399999999999997</v>
      </c>
      <c r="C95" s="7">
        <v>12.93</v>
      </c>
      <c r="D95" s="25">
        <f t="shared" si="18"/>
        <v>50.031297032191965</v>
      </c>
      <c r="E95" s="25">
        <f t="shared" si="21"/>
        <v>1.1115985248803941</v>
      </c>
      <c r="F95" s="25">
        <f t="shared" si="19"/>
        <v>5.5767864252433755E-3</v>
      </c>
      <c r="G95" s="25">
        <f t="shared" si="22"/>
        <v>0.88461538461538458</v>
      </c>
      <c r="H95" s="28">
        <f t="shared" si="20"/>
        <v>0.85042785911495256</v>
      </c>
      <c r="J95" s="18">
        <v>0.5</v>
      </c>
      <c r="K95" s="7">
        <f t="shared" si="24"/>
        <v>0.5</v>
      </c>
      <c r="L95" s="7">
        <f t="shared" ref="L95:L100" si="26">1/K95</f>
        <v>2</v>
      </c>
      <c r="M95" s="25">
        <f t="shared" si="23"/>
        <v>0.94017906793824046</v>
      </c>
      <c r="N95" s="28">
        <f t="shared" si="25"/>
        <v>8.7132277898160435</v>
      </c>
    </row>
    <row r="96" spans="1:14">
      <c r="A96" s="18">
        <v>24</v>
      </c>
      <c r="B96" s="7">
        <v>5.69</v>
      </c>
      <c r="C96" s="7">
        <v>16.36</v>
      </c>
      <c r="D96" s="25">
        <f t="shared" si="18"/>
        <v>360.15387279379183</v>
      </c>
      <c r="E96" s="25">
        <f t="shared" si="21"/>
        <v>1.2137832993353042</v>
      </c>
      <c r="F96" s="25">
        <f t="shared" si="19"/>
        <v>2.1839264810422199E-2</v>
      </c>
      <c r="G96" s="25">
        <f t="shared" si="22"/>
        <v>0.92307692307692313</v>
      </c>
      <c r="H96" s="28">
        <f t="shared" si="20"/>
        <v>0.95507805880297736</v>
      </c>
      <c r="J96" s="18">
        <v>0.8</v>
      </c>
      <c r="K96" s="7">
        <f t="shared" si="24"/>
        <v>0.19999999999999996</v>
      </c>
      <c r="L96" s="7">
        <f t="shared" si="26"/>
        <v>5.0000000000000009</v>
      </c>
      <c r="M96" s="25">
        <f t="shared" si="23"/>
        <v>1.0800947749575989</v>
      </c>
      <c r="N96" s="28">
        <f t="shared" si="25"/>
        <v>12.025268302944927</v>
      </c>
    </row>
    <row r="97" spans="1:14" ht="15.75" thickBot="1">
      <c r="A97" s="19">
        <v>25</v>
      </c>
      <c r="B97" s="20">
        <v>9.51</v>
      </c>
      <c r="C97" s="20">
        <v>18.66</v>
      </c>
      <c r="D97" s="26">
        <f t="shared" si="18"/>
        <v>834.51336416979188</v>
      </c>
      <c r="E97" s="26">
        <f t="shared" si="21"/>
        <v>1.2709116394104811</v>
      </c>
      <c r="F97" s="26">
        <f t="shared" si="19"/>
        <v>3.8153017674449945E-2</v>
      </c>
      <c r="G97" s="26">
        <f t="shared" si="22"/>
        <v>0.96153846153846156</v>
      </c>
      <c r="H97" s="29">
        <f t="shared" si="20"/>
        <v>0.98117098470984732</v>
      </c>
      <c r="J97" s="18">
        <v>0.9</v>
      </c>
      <c r="K97" s="7">
        <f t="shared" si="24"/>
        <v>9.9999999999999978E-2</v>
      </c>
      <c r="L97" s="7">
        <f t="shared" si="26"/>
        <v>10.000000000000002</v>
      </c>
      <c r="M97" s="25">
        <f t="shared" si="23"/>
        <v>1.1499574027679229</v>
      </c>
      <c r="N97" s="28">
        <f t="shared" si="25"/>
        <v>14.123990044355072</v>
      </c>
    </row>
    <row r="98" spans="1:14" ht="15.75" thickTop="1">
      <c r="J98" s="18">
        <v>0.95</v>
      </c>
      <c r="K98" s="7">
        <f t="shared" si="24"/>
        <v>5.0000000000000044E-2</v>
      </c>
      <c r="L98" s="7">
        <f t="shared" si="26"/>
        <v>19.999999999999982</v>
      </c>
      <c r="M98" s="25">
        <f t="shared" si="23"/>
        <v>1.2059825675764744</v>
      </c>
      <c r="N98" s="28">
        <f t="shared" si="25"/>
        <v>16.068767522663457</v>
      </c>
    </row>
    <row r="99" spans="1:14">
      <c r="J99" s="18">
        <v>0.99</v>
      </c>
      <c r="K99" s="7">
        <f t="shared" si="24"/>
        <v>1.0000000000000009E-2</v>
      </c>
      <c r="L99" s="7">
        <f t="shared" si="26"/>
        <v>99.999999999999915</v>
      </c>
      <c r="M99" s="25">
        <f t="shared" si="23"/>
        <v>1.3070638432771089</v>
      </c>
      <c r="N99" s="28">
        <f t="shared" si="25"/>
        <v>20.279808200746416</v>
      </c>
    </row>
    <row r="100" spans="1:14" ht="15.75" thickBot="1">
      <c r="J100" s="19">
        <v>0.999</v>
      </c>
      <c r="K100" s="20">
        <f t="shared" si="24"/>
        <v>1.0000000000000009E-3</v>
      </c>
      <c r="L100" s="20">
        <f t="shared" si="26"/>
        <v>999.99999999999909</v>
      </c>
      <c r="M100" s="26">
        <f t="shared" si="23"/>
        <v>1.4142577107271679</v>
      </c>
      <c r="N100" s="29">
        <f t="shared" si="25"/>
        <v>25.957192072592981</v>
      </c>
    </row>
    <row r="101" spans="1:14" ht="15.75" thickTop="1"/>
    <row r="104" spans="1:14" ht="15.75" thickBot="1">
      <c r="A104" s="2" t="s">
        <v>57</v>
      </c>
      <c r="J104" s="6" t="s">
        <v>17</v>
      </c>
    </row>
    <row r="105" spans="1:14" ht="15.75" thickTop="1">
      <c r="A105" s="8" t="s">
        <v>1</v>
      </c>
      <c r="B105" s="9" t="s">
        <v>30</v>
      </c>
      <c r="C105" s="9" t="s">
        <v>3</v>
      </c>
      <c r="D105" s="9" t="s">
        <v>10</v>
      </c>
      <c r="E105" s="53" t="s">
        <v>45</v>
      </c>
      <c r="F105" s="10" t="s">
        <v>46</v>
      </c>
      <c r="G105" s="53" t="s">
        <v>47</v>
      </c>
      <c r="H105" s="54" t="s">
        <v>48</v>
      </c>
      <c r="J105" s="5" t="s">
        <v>36</v>
      </c>
      <c r="K105" s="35">
        <f>AVERAGE(C107:C131)</f>
        <v>9.988800000000003</v>
      </c>
    </row>
    <row r="106" spans="1:14" ht="15.75" thickBot="1">
      <c r="A106" s="36" t="s">
        <v>4</v>
      </c>
      <c r="B106" s="55" t="s">
        <v>5</v>
      </c>
      <c r="C106" s="55" t="s">
        <v>5</v>
      </c>
      <c r="D106" s="55"/>
      <c r="E106" s="56"/>
      <c r="F106" s="55"/>
      <c r="G106" s="56" t="s">
        <v>4</v>
      </c>
      <c r="H106" s="37" t="s">
        <v>4</v>
      </c>
      <c r="J106" s="5" t="s">
        <v>37</v>
      </c>
      <c r="K106" s="35">
        <f>STDEV(C107:C131)</f>
        <v>4.0358500963241841</v>
      </c>
    </row>
    <row r="107" spans="1:14" ht="15.75" thickTop="1">
      <c r="A107" s="16">
        <v>1</v>
      </c>
      <c r="B107" s="17">
        <v>9.59</v>
      </c>
      <c r="C107" s="17">
        <v>3.62</v>
      </c>
      <c r="D107" s="24">
        <f t="shared" ref="D107:D131" si="27">(C107-$K$105)^3</f>
        <v>-258.32880367667235</v>
      </c>
      <c r="E107" s="24">
        <f>LOG(C107)</f>
        <v>0.55870857053316569</v>
      </c>
      <c r="F107" s="24">
        <f t="shared" ref="F107:F131" si="28">(E107-$K$111)^3</f>
        <v>-6.7666589859950263E-2</v>
      </c>
      <c r="G107" s="24">
        <f>A107/26</f>
        <v>3.8461538461538464E-2</v>
      </c>
      <c r="H107" s="27">
        <f t="shared" ref="H107:H131" si="29">IF($K$114&gt;0,GAMMADIST((E107-$K$119)/$K$118,$K$117,1,TRUE),1-GAMMADIST((E107-$K$119)/$K$118,$K$117,1,TRUE))</f>
        <v>1.4227819503175754E-2</v>
      </c>
      <c r="J107" s="5" t="s">
        <v>38</v>
      </c>
      <c r="K107" s="35">
        <f>K106/K105</f>
        <v>0.40403753166788631</v>
      </c>
    </row>
    <row r="108" spans="1:14">
      <c r="A108" s="18">
        <v>2</v>
      </c>
      <c r="B108" s="7">
        <v>6.1</v>
      </c>
      <c r="C108" s="7">
        <v>4.6100000000000003</v>
      </c>
      <c r="D108" s="25">
        <f t="shared" si="27"/>
        <v>-155.61669539987224</v>
      </c>
      <c r="E108" s="25">
        <f t="shared" ref="E108:E131" si="30">LOG(C108)</f>
        <v>0.6637009253896482</v>
      </c>
      <c r="F108" s="25">
        <f t="shared" si="28"/>
        <v>-2.7682005363312501E-2</v>
      </c>
      <c r="G108" s="25">
        <f t="shared" ref="G108:G131" si="31">A108/26</f>
        <v>7.6923076923076927E-2</v>
      </c>
      <c r="H108" s="28">
        <f t="shared" si="29"/>
        <v>4.8126010059042157E-2</v>
      </c>
      <c r="J108" s="5" t="s">
        <v>39</v>
      </c>
      <c r="K108" s="35">
        <f>(24/(23*22))*(1/(K106^3))*SUM(D107:D131)</f>
        <v>1.0196702663969293</v>
      </c>
    </row>
    <row r="109" spans="1:14">
      <c r="A109" s="18">
        <v>3</v>
      </c>
      <c r="B109" s="7">
        <v>6.11</v>
      </c>
      <c r="C109" s="7">
        <v>6.1</v>
      </c>
      <c r="D109" s="25">
        <f t="shared" si="27"/>
        <v>-58.809410243072158</v>
      </c>
      <c r="E109" s="25">
        <f t="shared" si="30"/>
        <v>0.78532983501076703</v>
      </c>
      <c r="F109" s="25">
        <f t="shared" si="28"/>
        <v>-5.9175683092399702E-3</v>
      </c>
      <c r="G109" s="25">
        <f t="shared" si="31"/>
        <v>0.11538461538461539</v>
      </c>
      <c r="H109" s="28">
        <f t="shared" si="29"/>
        <v>0.15173645318823081</v>
      </c>
      <c r="J109" s="1"/>
      <c r="K109" s="1"/>
    </row>
    <row r="110" spans="1:14">
      <c r="A110" s="18">
        <v>4</v>
      </c>
      <c r="B110" s="7">
        <v>8.7100000000000009</v>
      </c>
      <c r="C110" s="7">
        <v>6.11</v>
      </c>
      <c r="D110" s="25">
        <f t="shared" si="27"/>
        <v>-58.356892919872124</v>
      </c>
      <c r="E110" s="25">
        <f t="shared" si="30"/>
        <v>0.78604121024255424</v>
      </c>
      <c r="F110" s="25">
        <f t="shared" si="28"/>
        <v>-5.8480221730938826E-3</v>
      </c>
      <c r="G110" s="25">
        <f t="shared" si="31"/>
        <v>0.15384615384615385</v>
      </c>
      <c r="H110" s="28">
        <f t="shared" si="29"/>
        <v>0.15262806042169763</v>
      </c>
      <c r="J110" s="6" t="s">
        <v>40</v>
      </c>
    </row>
    <row r="111" spans="1:14">
      <c r="A111" s="18">
        <v>5</v>
      </c>
      <c r="B111" s="7">
        <v>21.15</v>
      </c>
      <c r="C111" s="7">
        <v>6.44</v>
      </c>
      <c r="D111" s="25">
        <f t="shared" si="27"/>
        <v>-44.693521334272098</v>
      </c>
      <c r="E111" s="25">
        <f t="shared" si="30"/>
        <v>0.80888586735981216</v>
      </c>
      <c r="F111" s="25">
        <f t="shared" si="28"/>
        <v>-3.8936064810944967E-3</v>
      </c>
      <c r="G111" s="25">
        <f t="shared" si="31"/>
        <v>0.19230769230769232</v>
      </c>
      <c r="H111" s="28">
        <f t="shared" si="29"/>
        <v>0.18323726701566523</v>
      </c>
      <c r="J111" s="5" t="s">
        <v>41</v>
      </c>
      <c r="K111" s="35">
        <f>AVERAGE(E107:E131)</f>
        <v>0.96620589669264501</v>
      </c>
    </row>
    <row r="112" spans="1:14">
      <c r="A112" s="18">
        <v>6</v>
      </c>
      <c r="B112" s="7">
        <v>13.9</v>
      </c>
      <c r="C112" s="7">
        <v>6.85</v>
      </c>
      <c r="D112" s="25">
        <f t="shared" si="27"/>
        <v>-30.9236630030721</v>
      </c>
      <c r="E112" s="25">
        <f t="shared" si="30"/>
        <v>0.83569057149242554</v>
      </c>
      <c r="F112" s="25">
        <f t="shared" si="28"/>
        <v>-2.223230692925092E-3</v>
      </c>
      <c r="G112" s="25">
        <f t="shared" si="31"/>
        <v>0.23076923076923078</v>
      </c>
      <c r="H112" s="28">
        <f t="shared" si="29"/>
        <v>0.22406521159027737</v>
      </c>
      <c r="J112" s="5" t="s">
        <v>42</v>
      </c>
      <c r="K112" s="35">
        <f>STDEV(E107:E131)</f>
        <v>0.17573516471427109</v>
      </c>
    </row>
    <row r="113" spans="1:14">
      <c r="A113" s="18">
        <v>7</v>
      </c>
      <c r="B113" s="7">
        <v>11.68</v>
      </c>
      <c r="C113" s="7">
        <v>7.22</v>
      </c>
      <c r="D113" s="25">
        <f t="shared" si="27"/>
        <v>-21.226322524672074</v>
      </c>
      <c r="E113" s="25">
        <f t="shared" si="30"/>
        <v>0.85853719756963909</v>
      </c>
      <c r="F113" s="25">
        <f t="shared" si="28"/>
        <v>-1.2481546456763843E-3</v>
      </c>
      <c r="G113" s="25">
        <f t="shared" si="31"/>
        <v>0.26923076923076922</v>
      </c>
      <c r="H113" s="28">
        <f t="shared" si="29"/>
        <v>0.26296802567983368</v>
      </c>
      <c r="J113" s="5" t="s">
        <v>43</v>
      </c>
      <c r="K113" s="35">
        <f>K112/K111</f>
        <v>0.18188169345252231</v>
      </c>
    </row>
    <row r="114" spans="1:14">
      <c r="A114" s="18">
        <v>8</v>
      </c>
      <c r="B114" s="7">
        <v>14.11</v>
      </c>
      <c r="C114" s="7">
        <v>7.68</v>
      </c>
      <c r="D114" s="25">
        <f t="shared" si="27"/>
        <v>-12.307191017472052</v>
      </c>
      <c r="E114" s="25">
        <f t="shared" si="30"/>
        <v>0.88536122003151196</v>
      </c>
      <c r="F114" s="25">
        <f t="shared" si="28"/>
        <v>-5.2838962943137539E-4</v>
      </c>
      <c r="G114" s="25">
        <f t="shared" si="31"/>
        <v>0.30769230769230771</v>
      </c>
      <c r="H114" s="28">
        <f t="shared" si="29"/>
        <v>0.31314898769926147</v>
      </c>
      <c r="J114" s="5" t="s">
        <v>44</v>
      </c>
      <c r="K114" s="35">
        <f>(24/(23*22))*(1/(K112^3))*SUM(F107:F131)</f>
        <v>-0.20425943461853946</v>
      </c>
    </row>
    <row r="115" spans="1:14">
      <c r="A115" s="18">
        <v>9</v>
      </c>
      <c r="B115" s="7">
        <v>14.09</v>
      </c>
      <c r="C115" s="7">
        <v>8.41</v>
      </c>
      <c r="D115" s="25">
        <f t="shared" si="27"/>
        <v>-3.9353317838720216</v>
      </c>
      <c r="E115" s="25">
        <f t="shared" si="30"/>
        <v>0.92479599579791216</v>
      </c>
      <c r="F115" s="25">
        <f t="shared" si="28"/>
        <v>-7.1008865388621855E-5</v>
      </c>
      <c r="G115" s="25">
        <f t="shared" si="31"/>
        <v>0.34615384615384615</v>
      </c>
      <c r="H115" s="28">
        <f t="shared" si="29"/>
        <v>0.39444282810449072</v>
      </c>
    </row>
    <row r="116" spans="1:14">
      <c r="A116" s="18">
        <v>10</v>
      </c>
      <c r="B116" s="7">
        <v>9.7100000000000009</v>
      </c>
      <c r="C116" s="7">
        <v>8.4700000000000006</v>
      </c>
      <c r="D116" s="25">
        <f t="shared" si="27"/>
        <v>-3.5034971246720161</v>
      </c>
      <c r="E116" s="25">
        <f t="shared" si="30"/>
        <v>0.92788341033070698</v>
      </c>
      <c r="F116" s="25">
        <f t="shared" si="28"/>
        <v>-5.62809001673905E-5</v>
      </c>
      <c r="G116" s="25">
        <f t="shared" si="31"/>
        <v>0.38461538461538464</v>
      </c>
      <c r="H116" s="28">
        <f t="shared" si="29"/>
        <v>0.40111564649724318</v>
      </c>
      <c r="J116" s="6" t="s">
        <v>49</v>
      </c>
    </row>
    <row r="117" spans="1:14">
      <c r="A117" s="18">
        <v>11</v>
      </c>
      <c r="B117" s="7">
        <v>17.489999999999998</v>
      </c>
      <c r="C117" s="7">
        <v>8.7100000000000009</v>
      </c>
      <c r="D117" s="25">
        <f t="shared" si="27"/>
        <v>-2.0912592878720107</v>
      </c>
      <c r="E117" s="25">
        <f t="shared" si="30"/>
        <v>0.94001815500766328</v>
      </c>
      <c r="F117" s="25">
        <f t="shared" si="28"/>
        <v>-1.7959496015804719E-5</v>
      </c>
      <c r="G117" s="25">
        <f t="shared" si="31"/>
        <v>0.42307692307692307</v>
      </c>
      <c r="H117" s="28">
        <f t="shared" si="29"/>
        <v>0.42768237777799234</v>
      </c>
      <c r="J117" s="34" t="s">
        <v>13</v>
      </c>
      <c r="K117" s="35">
        <f>4/(K114^2)</f>
        <v>95.872872653652323</v>
      </c>
    </row>
    <row r="118" spans="1:14">
      <c r="A118" s="18">
        <v>12</v>
      </c>
      <c r="B118" s="7">
        <v>8.4700000000000006</v>
      </c>
      <c r="C118" s="7">
        <v>8.85</v>
      </c>
      <c r="D118" s="25">
        <f t="shared" si="27"/>
        <v>-1.476870363072013</v>
      </c>
      <c r="E118" s="25">
        <f t="shared" si="30"/>
        <v>0.94694327069782547</v>
      </c>
      <c r="F118" s="25">
        <f t="shared" si="28"/>
        <v>-7.1473734938880114E-6</v>
      </c>
      <c r="G118" s="25">
        <f t="shared" si="31"/>
        <v>0.46153846153846156</v>
      </c>
      <c r="H118" s="28">
        <f t="shared" si="29"/>
        <v>0.44305604149937794</v>
      </c>
      <c r="J118" s="34" t="s">
        <v>15</v>
      </c>
      <c r="K118" s="35">
        <f>K112*K114/2</f>
        <v>-1.794778269356646E-2</v>
      </c>
    </row>
    <row r="119" spans="1:14">
      <c r="A119" s="18">
        <v>13</v>
      </c>
      <c r="B119" s="7">
        <v>8.85</v>
      </c>
      <c r="C119" s="7">
        <v>9.59</v>
      </c>
      <c r="D119" s="25">
        <f t="shared" si="27"/>
        <v>-6.3425726272001506E-2</v>
      </c>
      <c r="E119" s="25">
        <f t="shared" si="30"/>
        <v>0.9818186071706636</v>
      </c>
      <c r="F119" s="25">
        <f t="shared" si="28"/>
        <v>3.8057032286778442E-6</v>
      </c>
      <c r="G119" s="25">
        <f t="shared" si="31"/>
        <v>0.5</v>
      </c>
      <c r="H119" s="28">
        <f t="shared" si="29"/>
        <v>0.52194485634334531</v>
      </c>
      <c r="J119" s="34" t="s">
        <v>16</v>
      </c>
      <c r="K119" s="35">
        <f>K111-K117*K118</f>
        <v>2.6869113812883674</v>
      </c>
    </row>
    <row r="120" spans="1:14">
      <c r="A120" s="18">
        <v>14</v>
      </c>
      <c r="B120" s="7">
        <v>10.65</v>
      </c>
      <c r="C120" s="7">
        <v>9.6</v>
      </c>
      <c r="D120" s="25">
        <f t="shared" si="27"/>
        <v>-5.8773123072001526E-2</v>
      </c>
      <c r="E120" s="25">
        <f t="shared" si="30"/>
        <v>0.98227123303956843</v>
      </c>
      <c r="F120" s="25">
        <f t="shared" si="28"/>
        <v>4.1463834975824889E-6</v>
      </c>
      <c r="G120" s="25">
        <f t="shared" si="31"/>
        <v>0.53846153846153844</v>
      </c>
      <c r="H120" s="28">
        <f t="shared" si="29"/>
        <v>0.52297679345278136</v>
      </c>
    </row>
    <row r="121" spans="1:14">
      <c r="A121" s="18">
        <v>15</v>
      </c>
      <c r="B121" s="7">
        <v>9.6</v>
      </c>
      <c r="C121" s="7">
        <v>9.7100000000000009</v>
      </c>
      <c r="D121" s="25">
        <f t="shared" si="27"/>
        <v>-2.1670967872000502E-2</v>
      </c>
      <c r="E121" s="25">
        <f t="shared" si="30"/>
        <v>0.98721922990800492</v>
      </c>
      <c r="F121" s="25">
        <f t="shared" si="28"/>
        <v>9.2786510460932857E-6</v>
      </c>
      <c r="G121" s="25">
        <f t="shared" si="31"/>
        <v>0.57692307692307687</v>
      </c>
      <c r="H121" s="28">
        <f t="shared" si="29"/>
        <v>0.53425806545084487</v>
      </c>
      <c r="J121" s="67" t="s">
        <v>58</v>
      </c>
      <c r="K121" s="67"/>
      <c r="L121" s="67"/>
      <c r="M121" s="67"/>
    </row>
    <row r="122" spans="1:14" ht="15.75" thickBot="1">
      <c r="A122" s="18">
        <v>16</v>
      </c>
      <c r="B122" s="7">
        <v>8.41</v>
      </c>
      <c r="C122" s="7">
        <v>9.8699999999999992</v>
      </c>
      <c r="D122" s="25">
        <f t="shared" si="27"/>
        <v>-1.6766766720001604E-3</v>
      </c>
      <c r="E122" s="25">
        <f t="shared" si="30"/>
        <v>0.99431715266963672</v>
      </c>
      <c r="F122" s="25">
        <f t="shared" si="28"/>
        <v>2.2214715177961995E-5</v>
      </c>
      <c r="G122" s="25">
        <f t="shared" si="31"/>
        <v>0.61538461538461542</v>
      </c>
      <c r="H122" s="28">
        <f t="shared" si="29"/>
        <v>0.55042908875047236</v>
      </c>
      <c r="J122" s="68"/>
      <c r="K122" s="68"/>
      <c r="L122" s="68"/>
      <c r="M122" s="68"/>
    </row>
    <row r="123" spans="1:14" ht="16.5" thickTop="1" thickBot="1">
      <c r="A123" s="18">
        <v>17</v>
      </c>
      <c r="B123" s="7">
        <v>7.22</v>
      </c>
      <c r="C123" s="7">
        <v>10.65</v>
      </c>
      <c r="D123" s="25">
        <f t="shared" si="27"/>
        <v>0.28906701292799653</v>
      </c>
      <c r="E123" s="25">
        <f t="shared" si="30"/>
        <v>1.0273496077747566</v>
      </c>
      <c r="F123" s="25">
        <f t="shared" si="28"/>
        <v>2.2858902925380594E-4</v>
      </c>
      <c r="G123" s="25">
        <f t="shared" si="31"/>
        <v>0.65384615384615385</v>
      </c>
      <c r="H123" s="28">
        <f t="shared" si="29"/>
        <v>0.62475246273641771</v>
      </c>
      <c r="J123" s="59" t="s">
        <v>51</v>
      </c>
      <c r="K123" s="60" t="s">
        <v>52</v>
      </c>
      <c r="L123" s="60" t="s">
        <v>22</v>
      </c>
      <c r="M123" s="60" t="s">
        <v>53</v>
      </c>
      <c r="N123" s="61" t="s">
        <v>54</v>
      </c>
    </row>
    <row r="124" spans="1:14" ht="15.75" thickTop="1">
      <c r="A124" s="18">
        <v>18</v>
      </c>
      <c r="B124" s="7">
        <v>6.44</v>
      </c>
      <c r="C124" s="7">
        <v>11.23</v>
      </c>
      <c r="D124" s="25">
        <f t="shared" si="27"/>
        <v>1.9121647185279882</v>
      </c>
      <c r="E124" s="25">
        <f t="shared" si="30"/>
        <v>1.0503797562614579</v>
      </c>
      <c r="F124" s="25">
        <f t="shared" si="28"/>
        <v>5.9639188184962581E-4</v>
      </c>
      <c r="G124" s="25">
        <f t="shared" si="31"/>
        <v>0.69230769230769229</v>
      </c>
      <c r="H124" s="28">
        <f t="shared" si="29"/>
        <v>0.67466449800050599</v>
      </c>
      <c r="J124" s="16">
        <v>1E-3</v>
      </c>
      <c r="K124" s="17">
        <f>1-J124</f>
        <v>0.999</v>
      </c>
      <c r="L124" s="17"/>
      <c r="M124" s="24">
        <f t="shared" ref="M124:M134" si="32">IF($K$114&gt;0,$K$119+$K$118*GAMMAINV(J124,$K$117,1),$K$119+$K$118*GAMMAINV(1-J124,$K$117,1))</f>
        <v>0.37166471351738162</v>
      </c>
      <c r="N124" s="27">
        <f>10^M124</f>
        <v>2.3532318270778263</v>
      </c>
    </row>
    <row r="125" spans="1:14">
      <c r="A125" s="18">
        <v>19</v>
      </c>
      <c r="B125" s="7">
        <v>11.23</v>
      </c>
      <c r="C125" s="7">
        <v>11.68</v>
      </c>
      <c r="D125" s="25">
        <f t="shared" si="27"/>
        <v>4.8370982625279719</v>
      </c>
      <c r="E125" s="25">
        <f t="shared" si="30"/>
        <v>1.0674428427763807</v>
      </c>
      <c r="F125" s="25">
        <f t="shared" si="28"/>
        <v>1.037569285767852E-3</v>
      </c>
      <c r="G125" s="25">
        <f t="shared" si="31"/>
        <v>0.73076923076923073</v>
      </c>
      <c r="H125" s="28">
        <f t="shared" si="29"/>
        <v>0.71005918048398198</v>
      </c>
      <c r="J125" s="18">
        <v>0.01</v>
      </c>
      <c r="K125" s="7">
        <f t="shared" ref="K125:K134" si="33">1-J125</f>
        <v>0.99</v>
      </c>
      <c r="L125" s="7"/>
      <c r="M125" s="25">
        <f t="shared" si="32"/>
        <v>0.53120235890518908</v>
      </c>
      <c r="N125" s="28">
        <f t="shared" ref="N125:N134" si="34">10^M125</f>
        <v>3.3978355738361996</v>
      </c>
    </row>
    <row r="126" spans="1:14">
      <c r="A126" s="18">
        <v>20</v>
      </c>
      <c r="B126" s="7">
        <v>3.62</v>
      </c>
      <c r="C126" s="7">
        <v>13.58</v>
      </c>
      <c r="D126" s="25">
        <f t="shared" si="27"/>
        <v>46.314691670527885</v>
      </c>
      <c r="E126" s="25">
        <f t="shared" si="30"/>
        <v>1.1328997699444829</v>
      </c>
      <c r="F126" s="25">
        <f t="shared" si="28"/>
        <v>4.6318972151798447E-3</v>
      </c>
      <c r="G126" s="25">
        <f t="shared" si="31"/>
        <v>0.76923076923076927</v>
      </c>
      <c r="H126" s="28">
        <f t="shared" si="29"/>
        <v>0.82810522522698105</v>
      </c>
      <c r="J126" s="18">
        <v>0.05</v>
      </c>
      <c r="K126" s="7">
        <f t="shared" si="33"/>
        <v>0.95</v>
      </c>
      <c r="L126" s="7"/>
      <c r="M126" s="25">
        <f t="shared" si="32"/>
        <v>0.66730887149824269</v>
      </c>
      <c r="N126" s="28">
        <f t="shared" si="34"/>
        <v>4.648457573430604</v>
      </c>
    </row>
    <row r="127" spans="1:14">
      <c r="A127" s="18">
        <v>21</v>
      </c>
      <c r="B127" s="7">
        <v>13.58</v>
      </c>
      <c r="C127" s="7">
        <v>13.9</v>
      </c>
      <c r="D127" s="25">
        <f t="shared" si="27"/>
        <v>59.83152505292788</v>
      </c>
      <c r="E127" s="25">
        <f t="shared" si="30"/>
        <v>1.1430148002540952</v>
      </c>
      <c r="F127" s="25">
        <f t="shared" si="28"/>
        <v>5.5272918030293142E-3</v>
      </c>
      <c r="G127" s="25">
        <f t="shared" si="31"/>
        <v>0.80769230769230771</v>
      </c>
      <c r="H127" s="28">
        <f t="shared" si="29"/>
        <v>0.84337926356828907</v>
      </c>
      <c r="J127" s="18">
        <v>0.1</v>
      </c>
      <c r="K127" s="7">
        <f t="shared" si="33"/>
        <v>0.9</v>
      </c>
      <c r="L127" s="7"/>
      <c r="M127" s="25">
        <f t="shared" si="32"/>
        <v>0.73749957674842892</v>
      </c>
      <c r="N127" s="28">
        <f t="shared" si="34"/>
        <v>5.4638601738866681</v>
      </c>
    </row>
    <row r="128" spans="1:14">
      <c r="A128" s="18">
        <v>22</v>
      </c>
      <c r="B128" s="7">
        <v>7.68</v>
      </c>
      <c r="C128" s="7">
        <v>14.09</v>
      </c>
      <c r="D128" s="25">
        <f t="shared" si="27"/>
        <v>68.981533713727842</v>
      </c>
      <c r="E128" s="25">
        <f t="shared" si="30"/>
        <v>1.1489109931093564</v>
      </c>
      <c r="F128" s="25">
        <f t="shared" si="28"/>
        <v>6.0989066415503002E-3</v>
      </c>
      <c r="G128" s="25">
        <f t="shared" si="31"/>
        <v>0.84615384615384615</v>
      </c>
      <c r="H128" s="28">
        <f t="shared" si="29"/>
        <v>0.85188639426956425</v>
      </c>
      <c r="J128" s="18">
        <v>0.2</v>
      </c>
      <c r="K128" s="7">
        <f t="shared" si="33"/>
        <v>0.8</v>
      </c>
      <c r="L128" s="7"/>
      <c r="M128" s="25">
        <f t="shared" si="32"/>
        <v>0.82031591237960888</v>
      </c>
      <c r="N128" s="28">
        <f t="shared" si="34"/>
        <v>6.6117422126159102</v>
      </c>
    </row>
    <row r="129" spans="1:14">
      <c r="A129" s="18">
        <v>23</v>
      </c>
      <c r="B129" s="7">
        <v>4.6100000000000003</v>
      </c>
      <c r="C129" s="7">
        <v>14.11</v>
      </c>
      <c r="D129" s="25">
        <f t="shared" si="27"/>
        <v>69.995653640127813</v>
      </c>
      <c r="E129" s="25">
        <f t="shared" si="30"/>
        <v>1.1495270137543478</v>
      </c>
      <c r="F129" s="25">
        <f t="shared" si="28"/>
        <v>6.1608053117263176E-3</v>
      </c>
      <c r="G129" s="25">
        <f t="shared" si="31"/>
        <v>0.88461538461538458</v>
      </c>
      <c r="H129" s="28">
        <f t="shared" si="29"/>
        <v>0.85275825022990925</v>
      </c>
      <c r="J129" s="18">
        <v>0.5</v>
      </c>
      <c r="K129" s="7">
        <f t="shared" si="33"/>
        <v>0.5</v>
      </c>
      <c r="L129" s="7">
        <f t="shared" ref="L129:L134" si="35">1/K129</f>
        <v>2</v>
      </c>
      <c r="M129" s="25">
        <f t="shared" si="32"/>
        <v>0.97218470413449287</v>
      </c>
      <c r="N129" s="28">
        <f t="shared" si="34"/>
        <v>9.3796083402623864</v>
      </c>
    </row>
    <row r="130" spans="1:14">
      <c r="A130" s="18">
        <v>24</v>
      </c>
      <c r="B130" s="7">
        <v>6.85</v>
      </c>
      <c r="C130" s="7">
        <v>17.489999999999998</v>
      </c>
      <c r="D130" s="25">
        <f t="shared" si="27"/>
        <v>422.07753240172718</v>
      </c>
      <c r="E130" s="25">
        <f t="shared" si="30"/>
        <v>1.2427898094786765</v>
      </c>
      <c r="F130" s="25">
        <f t="shared" si="28"/>
        <v>2.1158298930282999E-2</v>
      </c>
      <c r="G130" s="25">
        <f t="shared" si="31"/>
        <v>0.92307692307692313</v>
      </c>
      <c r="H130" s="28">
        <f t="shared" si="29"/>
        <v>0.94872108505188013</v>
      </c>
      <c r="J130" s="18">
        <v>0.8</v>
      </c>
      <c r="K130" s="7">
        <f t="shared" si="33"/>
        <v>0.19999999999999996</v>
      </c>
      <c r="L130" s="7">
        <f t="shared" si="35"/>
        <v>5.0000000000000009</v>
      </c>
      <c r="M130" s="25">
        <f t="shared" si="32"/>
        <v>1.1155813456698473</v>
      </c>
      <c r="N130" s="28">
        <f t="shared" si="34"/>
        <v>13.049123627875366</v>
      </c>
    </row>
    <row r="131" spans="1:14" ht="15.75" thickBot="1">
      <c r="A131" s="19">
        <v>25</v>
      </c>
      <c r="B131" s="20">
        <v>9.8699999999999992</v>
      </c>
      <c r="C131" s="20">
        <v>21.15</v>
      </c>
      <c r="D131" s="26">
        <f t="shared" si="27"/>
        <v>1390.3773083729263</v>
      </c>
      <c r="E131" s="26">
        <f t="shared" si="30"/>
        <v>1.325310371711061</v>
      </c>
      <c r="F131" s="26">
        <f t="shared" si="28"/>
        <v>4.6308685291172519E-2</v>
      </c>
      <c r="G131" s="26">
        <f t="shared" si="31"/>
        <v>0.96153846153846156</v>
      </c>
      <c r="H131" s="29">
        <f t="shared" si="29"/>
        <v>0.98504211434846889</v>
      </c>
      <c r="J131" s="18">
        <v>0.9</v>
      </c>
      <c r="K131" s="7">
        <f t="shared" si="33"/>
        <v>9.9999999999999978E-2</v>
      </c>
      <c r="L131" s="7">
        <f t="shared" si="35"/>
        <v>10.000000000000002</v>
      </c>
      <c r="M131" s="25">
        <f t="shared" si="32"/>
        <v>1.1872277223619443</v>
      </c>
      <c r="N131" s="28">
        <f t="shared" si="34"/>
        <v>15.389613833564567</v>
      </c>
    </row>
    <row r="132" spans="1:14" ht="15.75" thickTop="1">
      <c r="J132" s="18">
        <v>0.95</v>
      </c>
      <c r="K132" s="7">
        <f t="shared" si="33"/>
        <v>5.0000000000000044E-2</v>
      </c>
      <c r="L132" s="7">
        <f t="shared" si="35"/>
        <v>19.999999999999982</v>
      </c>
      <c r="M132" s="25">
        <f t="shared" si="32"/>
        <v>1.2447072991862391</v>
      </c>
      <c r="N132" s="28">
        <f t="shared" si="34"/>
        <v>17.567392279281986</v>
      </c>
    </row>
    <row r="133" spans="1:14">
      <c r="J133" s="18">
        <v>0.99</v>
      </c>
      <c r="K133" s="7">
        <f t="shared" si="33"/>
        <v>1.0000000000000009E-2</v>
      </c>
      <c r="L133" s="7">
        <f t="shared" si="35"/>
        <v>99.999999999999915</v>
      </c>
      <c r="M133" s="25">
        <f t="shared" si="32"/>
        <v>1.3484711677918315</v>
      </c>
      <c r="N133" s="28">
        <f t="shared" si="34"/>
        <v>22.308540992568155</v>
      </c>
    </row>
    <row r="134" spans="1:14" ht="15.75" thickBot="1">
      <c r="J134" s="19">
        <v>0.999</v>
      </c>
      <c r="K134" s="20">
        <f t="shared" si="33"/>
        <v>1.0000000000000009E-3</v>
      </c>
      <c r="L134" s="20">
        <f t="shared" si="35"/>
        <v>999.99999999999909</v>
      </c>
      <c r="M134" s="26">
        <f t="shared" si="32"/>
        <v>1.458600581240157</v>
      </c>
      <c r="N134" s="29">
        <f t="shared" si="34"/>
        <v>28.747533003740219</v>
      </c>
    </row>
    <row r="135" spans="1:14" ht="15.75" thickTop="1"/>
  </sheetData>
  <sortState ref="C107:C131">
    <sortCondition ref="C110"/>
  </sortState>
  <mergeCells count="5">
    <mergeCell ref="J87:M88"/>
    <mergeCell ref="J54:M55"/>
    <mergeCell ref="J121:M122"/>
    <mergeCell ref="K19:N20"/>
    <mergeCell ref="J33:M34"/>
  </mergeCells>
  <pageMargins left="0.25" right="0.25" top="1" bottom="0.25" header="0" footer="0.25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</dc:creator>
  <cp:lastModifiedBy>DrAgon Of KaZaMath</cp:lastModifiedBy>
  <cp:lastPrinted>2009-09-23T19:48:15Z</cp:lastPrinted>
  <dcterms:created xsi:type="dcterms:W3CDTF">2009-05-10T11:34:57Z</dcterms:created>
  <dcterms:modified xsi:type="dcterms:W3CDTF">2009-09-23T19:48:24Z</dcterms:modified>
</cp:coreProperties>
</file>