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1015" windowHeight="9945" tabRatio="810"/>
  </bookViews>
  <sheets>
    <sheet name="Osnovne karakteristike" sheetId="1" r:id="rId1"/>
    <sheet name="Geom karak spregnutog preseka" sheetId="2" r:id="rId2"/>
    <sheet name="Vreme to" sheetId="3" r:id="rId3"/>
    <sheet name="EC4 tecenje" sheetId="4" r:id="rId4"/>
    <sheet name="EC4 skupljanje" sheetId="6" r:id="rId5"/>
    <sheet name="EC4 ukupno" sheetId="7" r:id="rId6"/>
    <sheet name="EM tecenje" sheetId="9" r:id="rId7"/>
    <sheet name="EM skupljanje" sheetId="11" r:id="rId8"/>
    <sheet name="EM ukupno" sheetId="12" r:id="rId9"/>
  </sheets>
  <calcPr calcId="124519"/>
</workbook>
</file>

<file path=xl/calcChain.xml><?xml version="1.0" encoding="utf-8"?>
<calcChain xmlns="http://schemas.openxmlformats.org/spreadsheetml/2006/main">
  <c r="D5" i="11"/>
  <c r="D6" i="9"/>
  <c r="D21"/>
  <c r="D5" i="6"/>
  <c r="D6"/>
  <c r="D21" s="1"/>
  <c r="D21" i="4"/>
  <c r="H17" i="1"/>
  <c r="D10"/>
  <c r="D6" i="4"/>
  <c r="J7" i="2"/>
  <c r="J6" i="4" s="1"/>
  <c r="J6" i="2"/>
  <c r="J5" i="4" s="1"/>
  <c r="J5" i="2"/>
  <c r="J4" i="4" s="1"/>
  <c r="D4" i="2"/>
  <c r="D6" s="1"/>
  <c r="G6" s="1"/>
  <c r="G5" i="4" s="1"/>
  <c r="K9" i="1"/>
  <c r="K8"/>
  <c r="H14"/>
  <c r="H13"/>
  <c r="H12"/>
  <c r="H11"/>
  <c r="H10"/>
  <c r="D8"/>
  <c r="D6"/>
  <c r="J4" i="6" l="1"/>
  <c r="J5"/>
  <c r="J6"/>
  <c r="G5" i="9"/>
  <c r="J6"/>
  <c r="D10"/>
  <c r="J4" i="11"/>
  <c r="G5"/>
  <c r="D10"/>
  <c r="D6"/>
  <c r="G5" i="6"/>
  <c r="D10"/>
  <c r="J4" i="9"/>
  <c r="J5"/>
  <c r="J5" i="11"/>
  <c r="J6"/>
  <c r="D21"/>
  <c r="G6"/>
  <c r="G6" i="9"/>
  <c r="G6" i="6"/>
  <c r="D10" i="4"/>
  <c r="D5" i="2"/>
  <c r="G5" s="1"/>
  <c r="D7"/>
  <c r="G4" i="4" l="1"/>
  <c r="G4" i="11"/>
  <c r="G10" s="1"/>
  <c r="G13" s="1"/>
  <c r="G4" i="6"/>
  <c r="G10" s="1"/>
  <c r="G4" i="9"/>
  <c r="G10" s="1"/>
  <c r="G13" s="1"/>
  <c r="G6" i="4"/>
  <c r="G16" i="11"/>
  <c r="N15"/>
  <c r="N14"/>
  <c r="N13"/>
  <c r="N7"/>
  <c r="N16"/>
  <c r="N12"/>
  <c r="N6"/>
  <c r="N5"/>
  <c r="N4"/>
  <c r="D22" s="1"/>
  <c r="G16" i="9"/>
  <c r="N15"/>
  <c r="N14"/>
  <c r="N13"/>
  <c r="N7"/>
  <c r="N4"/>
  <c r="N16"/>
  <c r="N12"/>
  <c r="N6"/>
  <c r="N5"/>
  <c r="G13" i="6"/>
  <c r="G7" i="2"/>
  <c r="G11" s="1"/>
  <c r="D14"/>
  <c r="D22" i="9" s="1"/>
  <c r="R12" i="11" l="1"/>
  <c r="G10" i="4"/>
  <c r="N9" i="11"/>
  <c r="N8" i="9"/>
  <c r="N8" i="6"/>
  <c r="C7" i="3"/>
  <c r="C5"/>
  <c r="C3"/>
  <c r="N8" i="11"/>
  <c r="N9" i="9"/>
  <c r="N9" i="6"/>
  <c r="C6" i="3"/>
  <c r="C4"/>
  <c r="R13" i="11"/>
  <c r="R17" s="1"/>
  <c r="R14"/>
  <c r="R16"/>
  <c r="R15"/>
  <c r="R16" i="9"/>
  <c r="D8" i="12" s="1"/>
  <c r="R15" i="9"/>
  <c r="D7" i="12" s="1"/>
  <c r="R12" i="9"/>
  <c r="D4" i="12" s="1"/>
  <c r="R13" i="9"/>
  <c r="R14"/>
  <c r="D6" i="12" s="1"/>
  <c r="G16" i="6"/>
  <c r="N15"/>
  <c r="N14"/>
  <c r="N13"/>
  <c r="N7"/>
  <c r="N4"/>
  <c r="D22" s="1"/>
  <c r="R12" s="1"/>
  <c r="N16"/>
  <c r="N12"/>
  <c r="N6"/>
  <c r="N5"/>
  <c r="N9" i="4"/>
  <c r="N8"/>
  <c r="M10" i="2"/>
  <c r="M8"/>
  <c r="M6"/>
  <c r="M7"/>
  <c r="M9"/>
  <c r="M5"/>
  <c r="R17" i="9" l="1"/>
  <c r="D9" i="12" s="1"/>
  <c r="D5"/>
  <c r="G13" i="4"/>
  <c r="R16" i="6"/>
  <c r="R15"/>
  <c r="R14"/>
  <c r="R13"/>
  <c r="G14" i="2"/>
  <c r="R17" i="6" l="1"/>
  <c r="N15" i="4"/>
  <c r="N13"/>
  <c r="D22"/>
  <c r="N16"/>
  <c r="N14"/>
  <c r="N12"/>
  <c r="G16"/>
  <c r="N5"/>
  <c r="N4"/>
  <c r="N7"/>
  <c r="N6"/>
  <c r="H8" i="3"/>
  <c r="H4"/>
  <c r="H6"/>
  <c r="H7"/>
  <c r="H5"/>
  <c r="H9" s="1"/>
  <c r="R14" i="4" l="1"/>
  <c r="D6" i="7" s="1"/>
  <c r="R13" i="4"/>
  <c r="R16"/>
  <c r="D8" i="7" s="1"/>
  <c r="R15" i="4"/>
  <c r="D7" i="7" s="1"/>
  <c r="R12" i="4"/>
  <c r="D4" i="7" s="1"/>
  <c r="R17" i="4" l="1"/>
  <c r="D9" i="7" s="1"/>
  <c r="D5"/>
</calcChain>
</file>

<file path=xl/sharedStrings.xml><?xml version="1.0" encoding="utf-8"?>
<sst xmlns="http://schemas.openxmlformats.org/spreadsheetml/2006/main" count="353" uniqueCount="84">
  <si>
    <t>betonski element</t>
  </si>
  <si>
    <t>b=</t>
  </si>
  <si>
    <t>h=</t>
  </si>
  <si>
    <t>eb=</t>
  </si>
  <si>
    <t>cm</t>
  </si>
  <si>
    <t>Eco=</t>
  </si>
  <si>
    <t>konst celik</t>
  </si>
  <si>
    <t>bft=</t>
  </si>
  <si>
    <t>bw=</t>
  </si>
  <si>
    <t>bfb=</t>
  </si>
  <si>
    <t>tft=</t>
  </si>
  <si>
    <t>tw=</t>
  </si>
  <si>
    <t>tfb=</t>
  </si>
  <si>
    <t>Ab=</t>
  </si>
  <si>
    <t>Aa=</t>
  </si>
  <si>
    <t>eaa=</t>
  </si>
  <si>
    <t>zft=</t>
  </si>
  <si>
    <t>zw=</t>
  </si>
  <si>
    <t>ztb=</t>
  </si>
  <si>
    <t>armatura</t>
  </si>
  <si>
    <t>As1=</t>
  </si>
  <si>
    <t>As2=</t>
  </si>
  <si>
    <t>es1=</t>
  </si>
  <si>
    <t>es2=</t>
  </si>
  <si>
    <t>es=</t>
  </si>
  <si>
    <t>As=</t>
  </si>
  <si>
    <t>cm2</t>
  </si>
  <si>
    <t>Ea=</t>
  </si>
  <si>
    <t>Es=</t>
  </si>
  <si>
    <t>Eu=</t>
  </si>
  <si>
    <t>na=</t>
  </si>
  <si>
    <t>ns=</t>
  </si>
  <si>
    <t>nc=</t>
  </si>
  <si>
    <t>Ac=</t>
  </si>
  <si>
    <t>Aio=</t>
  </si>
  <si>
    <t>teziste</t>
  </si>
  <si>
    <t>eio=</t>
  </si>
  <si>
    <t>ea=</t>
  </si>
  <si>
    <t>ec=</t>
  </si>
  <si>
    <t>povrsina</t>
  </si>
  <si>
    <t>mom inercije</t>
  </si>
  <si>
    <t>Iio=</t>
  </si>
  <si>
    <t>zc=</t>
  </si>
  <si>
    <t>zs1=</t>
  </si>
  <si>
    <t>zs2=</t>
  </si>
  <si>
    <t>zfb=</t>
  </si>
  <si>
    <t>u odnosu na ivicu izmedju ploce I konstr celika</t>
  </si>
  <si>
    <t>u odn na gornju ivicu ploce</t>
  </si>
  <si>
    <t>u odnosu na tezisnu osu</t>
  </si>
  <si>
    <t>cm4</t>
  </si>
  <si>
    <t>zo1=</t>
  </si>
  <si>
    <t>zo2=</t>
  </si>
  <si>
    <t>zo3=</t>
  </si>
  <si>
    <t>zo4=</t>
  </si>
  <si>
    <t>zo5=</t>
  </si>
  <si>
    <t>sile</t>
  </si>
  <si>
    <t>N=</t>
  </si>
  <si>
    <t>M=</t>
  </si>
  <si>
    <t>naponi</t>
  </si>
  <si>
    <r>
      <t>σa</t>
    </r>
    <r>
      <rPr>
        <sz val="11"/>
        <color theme="1"/>
        <rFont val="Calibri"/>
        <family val="2"/>
      </rPr>
      <t>1=</t>
    </r>
  </si>
  <si>
    <r>
      <t>σa2</t>
    </r>
    <r>
      <rPr>
        <sz val="11"/>
        <color theme="1"/>
        <rFont val="Calibri"/>
        <family val="2"/>
      </rPr>
      <t>=</t>
    </r>
  </si>
  <si>
    <r>
      <t>σs3</t>
    </r>
    <r>
      <rPr>
        <sz val="11"/>
        <color theme="1"/>
        <rFont val="Calibri"/>
        <family val="2"/>
      </rPr>
      <t>=</t>
    </r>
  </si>
  <si>
    <r>
      <t>σs</t>
    </r>
    <r>
      <rPr>
        <sz val="11"/>
        <color theme="1"/>
        <rFont val="Calibri"/>
        <family val="2"/>
      </rPr>
      <t>4=</t>
    </r>
  </si>
  <si>
    <r>
      <t>σc</t>
    </r>
    <r>
      <rPr>
        <sz val="11"/>
        <color theme="1"/>
        <rFont val="Calibri"/>
        <family val="2"/>
      </rPr>
      <t>5=</t>
    </r>
  </si>
  <si>
    <r>
      <t>σc2</t>
    </r>
    <r>
      <rPr>
        <sz val="11"/>
        <color theme="1"/>
        <rFont val="Calibri"/>
        <family val="2"/>
      </rPr>
      <t>=</t>
    </r>
  </si>
  <si>
    <t>kN/cm2</t>
  </si>
  <si>
    <t>kN</t>
  </si>
  <si>
    <t>kNm</t>
  </si>
  <si>
    <r>
      <rPr>
        <sz val="11"/>
        <color theme="1"/>
        <rFont val="Calibri"/>
        <family val="2"/>
        <charset val="238"/>
      </rPr>
      <t>ψ</t>
    </r>
    <r>
      <rPr>
        <sz val="11"/>
        <color theme="1"/>
        <rFont val="Calibri"/>
        <family val="2"/>
      </rPr>
      <t>=</t>
    </r>
  </si>
  <si>
    <t>fi=</t>
  </si>
  <si>
    <t>Eceff=</t>
  </si>
  <si>
    <t>nl=</t>
  </si>
  <si>
    <t>Ai=</t>
  </si>
  <si>
    <t>e=</t>
  </si>
  <si>
    <t>Ic=</t>
  </si>
  <si>
    <t>Ia=</t>
  </si>
  <si>
    <r>
      <rPr>
        <sz val="11"/>
        <color theme="1"/>
        <rFont val="Calibri"/>
        <family val="2"/>
        <charset val="238"/>
      </rPr>
      <t>ε</t>
    </r>
    <r>
      <rPr>
        <sz val="11"/>
        <color theme="1"/>
        <rFont val="Calibri"/>
        <family val="2"/>
      </rPr>
      <t>cs=</t>
    </r>
  </si>
  <si>
    <t>u zelena polja se upisuju date vrednosti</t>
  </si>
  <si>
    <t>oker boja je bitna za kontrolu</t>
  </si>
  <si>
    <t>legenda:</t>
  </si>
  <si>
    <t>upisi</t>
  </si>
  <si>
    <t>bitno za proveru</t>
  </si>
  <si>
    <t>Acrt=</t>
  </si>
  <si>
    <t>a ostala se citaju…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</si>
</sst>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">
    <xf numFmtId="0" fontId="0" fillId="0" borderId="0" xfId="0"/>
    <xf numFmtId="0" fontId="1" fillId="2" borderId="0" xfId="1"/>
    <xf numFmtId="0" fontId="0" fillId="0" borderId="0" xfId="0" applyAlignment="1"/>
    <xf numFmtId="0" fontId="2" fillId="3" borderId="0" xfId="2"/>
    <xf numFmtId="0" fontId="3" fillId="0" borderId="0" xfId="0" applyFont="1"/>
    <xf numFmtId="0" fontId="0" fillId="0" borderId="0" xfId="0" applyAlignment="1">
      <alignment textRotation="90" wrapText="1" shrinkToFit="1"/>
    </xf>
    <xf numFmtId="0" fontId="0" fillId="0" borderId="0" xfId="0" applyAlignment="1">
      <alignment textRotation="90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M22"/>
  <sheetViews>
    <sheetView tabSelected="1" workbookViewId="0">
      <selection activeCell="F31" sqref="F31"/>
    </sheetView>
  </sheetViews>
  <sheetFormatPr defaultRowHeight="15"/>
  <cols>
    <col min="6" max="6" width="24.28515625" customWidth="1"/>
    <col min="8" max="8" width="12" bestFit="1" customWidth="1"/>
  </cols>
  <sheetData>
    <row r="3" spans="3:13">
      <c r="C3" t="s">
        <v>0</v>
      </c>
      <c r="G3" t="s">
        <v>6</v>
      </c>
      <c r="J3" t="s">
        <v>19</v>
      </c>
    </row>
    <row r="4" spans="3:13">
      <c r="C4" s="1" t="s">
        <v>1</v>
      </c>
      <c r="D4" s="1">
        <v>300</v>
      </c>
      <c r="E4" s="1" t="s">
        <v>4</v>
      </c>
      <c r="G4" s="1" t="s">
        <v>7</v>
      </c>
      <c r="H4" s="1">
        <v>30</v>
      </c>
      <c r="J4" s="1" t="s">
        <v>20</v>
      </c>
      <c r="K4" s="1">
        <v>20</v>
      </c>
      <c r="L4" s="1" t="s">
        <v>26</v>
      </c>
    </row>
    <row r="5" spans="3:13">
      <c r="C5" s="1" t="s">
        <v>2</v>
      </c>
      <c r="D5" s="1">
        <v>24</v>
      </c>
      <c r="E5" s="1" t="s">
        <v>4</v>
      </c>
      <c r="G5" s="1" t="s">
        <v>8</v>
      </c>
      <c r="H5" s="1">
        <v>180</v>
      </c>
      <c r="J5" s="1" t="s">
        <v>21</v>
      </c>
      <c r="K5" s="1">
        <v>30</v>
      </c>
      <c r="L5" s="1" t="s">
        <v>26</v>
      </c>
    </row>
    <row r="6" spans="3:13">
      <c r="C6" s="1" t="s">
        <v>3</v>
      </c>
      <c r="D6" s="1">
        <f>D5/2</f>
        <v>12</v>
      </c>
      <c r="E6" s="1" t="s">
        <v>4</v>
      </c>
      <c r="F6" t="s">
        <v>47</v>
      </c>
      <c r="G6" s="1" t="s">
        <v>9</v>
      </c>
      <c r="H6" s="1">
        <v>50</v>
      </c>
      <c r="J6" s="1" t="s">
        <v>22</v>
      </c>
      <c r="K6" s="1">
        <v>4</v>
      </c>
      <c r="L6" s="1" t="s">
        <v>4</v>
      </c>
    </row>
    <row r="7" spans="3:13">
      <c r="C7" s="1" t="s">
        <v>5</v>
      </c>
      <c r="D7" s="1">
        <v>32</v>
      </c>
      <c r="E7" s="1"/>
      <c r="G7" s="1" t="s">
        <v>10</v>
      </c>
      <c r="H7" s="1">
        <v>3</v>
      </c>
      <c r="J7" s="1" t="s">
        <v>23</v>
      </c>
      <c r="K7" s="1">
        <v>18</v>
      </c>
      <c r="L7" s="1" t="s">
        <v>4</v>
      </c>
    </row>
    <row r="8" spans="3:13">
      <c r="C8" t="s">
        <v>13</v>
      </c>
      <c r="D8">
        <f>D4*D5</f>
        <v>7200</v>
      </c>
      <c r="G8" s="1" t="s">
        <v>11</v>
      </c>
      <c r="H8" s="1">
        <v>1.4</v>
      </c>
      <c r="J8" t="s">
        <v>24</v>
      </c>
      <c r="K8">
        <f>(K4*K6+K5*K7)/(K4+K5)</f>
        <v>12.4</v>
      </c>
      <c r="L8" t="s">
        <v>4</v>
      </c>
      <c r="M8" t="s">
        <v>47</v>
      </c>
    </row>
    <row r="9" spans="3:13">
      <c r="G9" s="1" t="s">
        <v>12</v>
      </c>
      <c r="H9" s="1">
        <v>4</v>
      </c>
      <c r="J9" t="s">
        <v>25</v>
      </c>
      <c r="K9">
        <f>K4+K5</f>
        <v>50</v>
      </c>
      <c r="L9" t="s">
        <v>26</v>
      </c>
      <c r="M9" t="s">
        <v>47</v>
      </c>
    </row>
    <row r="10" spans="3:13">
      <c r="C10" t="s">
        <v>74</v>
      </c>
      <c r="D10">
        <f>1/12*D4*D5^3</f>
        <v>345600</v>
      </c>
      <c r="G10" t="s">
        <v>14</v>
      </c>
      <c r="H10">
        <f>H4*H7+H5*H8+H6*H9</f>
        <v>542</v>
      </c>
      <c r="J10" s="1" t="s">
        <v>28</v>
      </c>
      <c r="K10" s="1">
        <v>210</v>
      </c>
    </row>
    <row r="11" spans="3:13">
      <c r="F11" s="5" t="s">
        <v>46</v>
      </c>
      <c r="G11" t="s">
        <v>16</v>
      </c>
      <c r="H11">
        <f>H7/2</f>
        <v>1.5</v>
      </c>
    </row>
    <row r="12" spans="3:13">
      <c r="F12" s="5"/>
      <c r="G12" t="s">
        <v>17</v>
      </c>
      <c r="H12">
        <f>H7+H5/2</f>
        <v>93</v>
      </c>
    </row>
    <row r="13" spans="3:13">
      <c r="F13" s="5"/>
      <c r="G13" t="s">
        <v>18</v>
      </c>
      <c r="H13">
        <f>H7+H5+H9/2</f>
        <v>185</v>
      </c>
    </row>
    <row r="14" spans="3:13">
      <c r="F14" s="5"/>
      <c r="G14" t="s">
        <v>15</v>
      </c>
      <c r="H14">
        <f>(H4*H7*H11+H5*H8*H12+H6*H9*H13)/H10</f>
        <v>111.75461254612546</v>
      </c>
    </row>
    <row r="15" spans="3:13">
      <c r="F15" s="2"/>
      <c r="G15" s="1" t="s">
        <v>27</v>
      </c>
      <c r="H15" s="1">
        <v>210</v>
      </c>
    </row>
    <row r="16" spans="3:13">
      <c r="F16" s="2"/>
    </row>
    <row r="17" spans="3:8">
      <c r="F17" s="2"/>
      <c r="G17" t="s">
        <v>75</v>
      </c>
      <c r="H17">
        <f>1/12*H4*H7^3+H4*H7*(H14-H11)^2+1/12*H5^3*H8+H5*H8*(H14-H12)^2+1/12*H6*H9^3+H6*H9*(H14-H13)^2</f>
        <v>2936396.0301353019</v>
      </c>
    </row>
    <row r="18" spans="3:8">
      <c r="F18" s="2"/>
    </row>
    <row r="21" spans="3:8">
      <c r="C21" s="1" t="s">
        <v>77</v>
      </c>
      <c r="D21" s="1"/>
      <c r="E21" s="1"/>
      <c r="F21" s="1"/>
    </row>
    <row r="22" spans="3:8">
      <c r="C22" s="1" t="s">
        <v>83</v>
      </c>
      <c r="D22" s="1"/>
      <c r="E22" s="1"/>
      <c r="F22" s="1"/>
    </row>
  </sheetData>
  <mergeCells count="1">
    <mergeCell ref="F11:F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4:O17"/>
  <sheetViews>
    <sheetView workbookViewId="0">
      <selection activeCell="C17" sqref="C17:E17"/>
    </sheetView>
  </sheetViews>
  <sheetFormatPr defaultRowHeight="15"/>
  <cols>
    <col min="7" max="7" width="12" bestFit="1" customWidth="1"/>
  </cols>
  <sheetData>
    <row r="4" spans="3:15">
      <c r="C4" t="s">
        <v>29</v>
      </c>
      <c r="D4">
        <f>'Osnovne karakteristike'!H15</f>
        <v>210</v>
      </c>
    </row>
    <row r="5" spans="3:15">
      <c r="C5" t="s">
        <v>30</v>
      </c>
      <c r="D5">
        <f>D4/'Osnovne karakteristike'!H15</f>
        <v>1</v>
      </c>
      <c r="F5" t="s">
        <v>14</v>
      </c>
      <c r="G5">
        <f>'Osnovne karakteristike'!H10/'Geom karak spregnutog preseka'!D5</f>
        <v>542</v>
      </c>
      <c r="H5" t="s">
        <v>26</v>
      </c>
      <c r="I5" t="s">
        <v>37</v>
      </c>
      <c r="J5">
        <f>'Osnovne karakteristike'!H14+'Osnovne karakteristike'!D5</f>
        <v>135.75461254612546</v>
      </c>
      <c r="K5" t="s">
        <v>4</v>
      </c>
      <c r="L5" t="s">
        <v>42</v>
      </c>
      <c r="M5">
        <f>D14-'Osnovne karakteristike'!D6</f>
        <v>39.72132949932341</v>
      </c>
      <c r="N5" t="s">
        <v>4</v>
      </c>
      <c r="O5" s="6" t="s">
        <v>48</v>
      </c>
    </row>
    <row r="6" spans="3:15">
      <c r="C6" t="s">
        <v>31</v>
      </c>
      <c r="D6">
        <f>D4/'Osnovne karakteristike'!K10</f>
        <v>1</v>
      </c>
      <c r="F6" t="s">
        <v>25</v>
      </c>
      <c r="G6">
        <f>'Osnovne karakteristike'!K9/'Geom karak spregnutog preseka'!D6</f>
        <v>50</v>
      </c>
      <c r="H6" t="s">
        <v>26</v>
      </c>
      <c r="I6" t="s">
        <v>24</v>
      </c>
      <c r="J6">
        <f>'Osnovne karakteristike'!K8</f>
        <v>12.4</v>
      </c>
      <c r="K6" t="s">
        <v>4</v>
      </c>
      <c r="L6" t="s">
        <v>43</v>
      </c>
      <c r="M6">
        <f>D14-'Osnovne karakteristike'!K6</f>
        <v>47.72132949932341</v>
      </c>
      <c r="N6" t="s">
        <v>4</v>
      </c>
      <c r="O6" s="6"/>
    </row>
    <row r="7" spans="3:15">
      <c r="C7" t="s">
        <v>32</v>
      </c>
      <c r="D7">
        <f>D4/'Osnovne karakteristike'!D7</f>
        <v>6.5625</v>
      </c>
      <c r="F7" t="s">
        <v>33</v>
      </c>
      <c r="G7">
        <f>'Osnovne karakteristike'!D8/'Geom karak spregnutog preseka'!D7</f>
        <v>1097.1428571428571</v>
      </c>
      <c r="H7" t="s">
        <v>26</v>
      </c>
      <c r="I7" t="s">
        <v>38</v>
      </c>
      <c r="J7">
        <f>'Osnovne karakteristike'!D6</f>
        <v>12</v>
      </c>
      <c r="K7" t="s">
        <v>4</v>
      </c>
      <c r="L7" t="s">
        <v>44</v>
      </c>
      <c r="M7">
        <f>D14-'Osnovne karakteristike'!K7</f>
        <v>33.72132949932341</v>
      </c>
      <c r="N7" t="s">
        <v>4</v>
      </c>
      <c r="O7" s="6"/>
    </row>
    <row r="8" spans="3:15">
      <c r="L8" t="s">
        <v>16</v>
      </c>
      <c r="M8">
        <f>D14-'Osnovne karakteristike'!D5-'Osnovne karakteristike'!H11</f>
        <v>26.22132949932341</v>
      </c>
      <c r="N8" t="s">
        <v>4</v>
      </c>
      <c r="O8" s="6"/>
    </row>
    <row r="9" spans="3:15">
      <c r="L9" t="s">
        <v>17</v>
      </c>
      <c r="M9">
        <f>'Osnovne karakteristike'!D5+'Osnovne karakteristike'!H12-'Geom karak spregnutog preseka'!D14</f>
        <v>65.278670500676583</v>
      </c>
      <c r="N9" t="s">
        <v>4</v>
      </c>
      <c r="O9" s="6"/>
    </row>
    <row r="10" spans="3:15">
      <c r="F10" t="s">
        <v>39</v>
      </c>
      <c r="L10" t="s">
        <v>45</v>
      </c>
      <c r="M10">
        <f>'Osnovne karakteristike'!D5+'Osnovne karakteristike'!H13-'Geom karak spregnutog preseka'!D14</f>
        <v>157.27867050067658</v>
      </c>
      <c r="N10" t="s">
        <v>4</v>
      </c>
      <c r="O10" s="6"/>
    </row>
    <row r="11" spans="3:15">
      <c r="F11" s="3" t="s">
        <v>34</v>
      </c>
      <c r="G11" s="3">
        <f>G5+G6+G7</f>
        <v>1689.1428571428571</v>
      </c>
      <c r="H11" t="s">
        <v>26</v>
      </c>
    </row>
    <row r="13" spans="3:15">
      <c r="C13" t="s">
        <v>35</v>
      </c>
      <c r="F13" t="s">
        <v>40</v>
      </c>
    </row>
    <row r="14" spans="3:15">
      <c r="C14" s="3" t="s">
        <v>36</v>
      </c>
      <c r="D14" s="3">
        <f>(G5*J5+G6*J6+G7*J7)/G11</f>
        <v>51.72132949932341</v>
      </c>
      <c r="F14" s="3" t="s">
        <v>41</v>
      </c>
      <c r="G14" s="3">
        <f>1/D7*('Osnovne karakteristike'!D4*'Osnovne karakteristike'!D5^3/12+'Osnovne karakteristike'!D8*'Geom karak spregnutog preseka'!M5^2)+'Osnovne karakteristike'!H4*'Osnovne karakteristike'!H7^3/12+'Osnovne karakteristike'!H4*'Osnovne karakteristike'!H7*'Geom karak spregnutog preseka'!M8^2+'Osnovne karakteristike'!H5^3*'Osnovne karakteristike'!H8/12+'Osnovne karakteristike'!H5*'Osnovne karakteristike'!H8*'Geom karak spregnutog preseka'!M9^2+'Osnovne karakteristike'!H6*'Osnovne karakteristike'!H9^3/12+'Osnovne karakteristike'!H6*'Osnovne karakteristike'!H9*'Geom karak spregnutog preseka'!M10^2+'Osnovne karakteristike'!K4*'Geom karak spregnutog preseka'!M6^2+'Osnovne karakteristike'!K5*'Geom karak spregnutog preseka'!M7^2</f>
        <v>8627156.9210524205</v>
      </c>
      <c r="H14" t="s">
        <v>49</v>
      </c>
    </row>
    <row r="17" spans="3:5">
      <c r="C17" s="3" t="s">
        <v>78</v>
      </c>
      <c r="D17" s="3"/>
      <c r="E17" s="3"/>
    </row>
  </sheetData>
  <mergeCells count="1">
    <mergeCell ref="O5:O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I12"/>
  <sheetViews>
    <sheetView workbookViewId="0">
      <selection activeCell="B32" sqref="B32"/>
    </sheetView>
  </sheetViews>
  <sheetFormatPr defaultRowHeight="15"/>
  <sheetData>
    <row r="3" spans="2:9">
      <c r="B3" t="s">
        <v>50</v>
      </c>
      <c r="C3">
        <f>'Osnovne karakteristike'!$D$5+'Osnovne karakteristike'!$H$7+'Osnovne karakteristike'!$H$5+'Osnovne karakteristike'!$H$9-'Geom karak spregnutog preseka'!$D$14</f>
        <v>159.27867050067658</v>
      </c>
      <c r="D3" t="s">
        <v>4</v>
      </c>
      <c r="G3" t="s">
        <v>58</v>
      </c>
    </row>
    <row r="4" spans="2:9">
      <c r="B4" t="s">
        <v>51</v>
      </c>
      <c r="C4">
        <f>'Osnovne karakteristike'!$D$5-'Geom karak spregnutog preseka'!$D$14</f>
        <v>-27.72132949932341</v>
      </c>
      <c r="D4" t="s">
        <v>4</v>
      </c>
      <c r="G4" s="4" t="s">
        <v>59</v>
      </c>
      <c r="H4">
        <f>$C$11/'Geom karak spregnutog preseka'!$G$11+'Vreme to'!$C$12*100/'Geom karak spregnutog preseka'!$G$14*'Vreme to'!C3</f>
        <v>9.8934526297180838</v>
      </c>
      <c r="I4" t="s">
        <v>65</v>
      </c>
    </row>
    <row r="5" spans="2:9">
      <c r="B5" t="s">
        <v>52</v>
      </c>
      <c r="C5">
        <f>'Osnovne karakteristike'!$K$7-'Geom karak spregnutog preseka'!$D$14</f>
        <v>-33.72132949932341</v>
      </c>
      <c r="D5" t="s">
        <v>4</v>
      </c>
      <c r="G5" s="4" t="s">
        <v>60</v>
      </c>
      <c r="H5">
        <f>$C$11/'Geom karak spregnutog preseka'!$G$11+'Vreme to'!$C$12*100/'Geom karak spregnutog preseka'!$G$14*'Vreme to'!C4</f>
        <v>-3.1119906497711236</v>
      </c>
      <c r="I5" t="s">
        <v>65</v>
      </c>
    </row>
    <row r="6" spans="2:9">
      <c r="B6" t="s">
        <v>53</v>
      </c>
      <c r="C6">
        <f>'Osnovne karakteristike'!$K$6-'Geom karak spregnutog preseka'!$D$14</f>
        <v>-47.72132949932341</v>
      </c>
      <c r="D6" t="s">
        <v>4</v>
      </c>
      <c r="G6" s="4" t="s">
        <v>61</v>
      </c>
      <c r="H6">
        <f>$C$11/'Geom karak spregnutog preseka'!$G$11+'Vreme to'!$C$12*100/'Geom karak spregnutog preseka'!$G$14*'Vreme to'!C5</f>
        <v>-3.5292775999151624</v>
      </c>
      <c r="I6" t="s">
        <v>65</v>
      </c>
    </row>
    <row r="7" spans="2:9">
      <c r="B7" t="s">
        <v>54</v>
      </c>
      <c r="C7">
        <f>-'Geom karak spregnutog preseka'!$D$14</f>
        <v>-51.72132949932341</v>
      </c>
      <c r="D7" t="s">
        <v>4</v>
      </c>
      <c r="G7" s="4" t="s">
        <v>62</v>
      </c>
      <c r="H7">
        <f>$C$11/'Geom karak spregnutog preseka'!$G$11+'Vreme to'!$C$12*100/'Geom karak spregnutog preseka'!$G$14*'Vreme to'!C6</f>
        <v>-4.502947150251253</v>
      </c>
      <c r="I7" t="s">
        <v>65</v>
      </c>
    </row>
    <row r="8" spans="2:9">
      <c r="G8" s="4" t="s">
        <v>63</v>
      </c>
      <c r="H8">
        <f>($C$11/'Geom karak spregnutog preseka'!$G$11+'Vreme to'!$C$12*100/'Geom karak spregnutog preseka'!$G$14*'Vreme to'!C7)*1/'Geom karak spregnutog preseka'!D7</f>
        <v>-0.72855443052910918</v>
      </c>
      <c r="I8" t="s">
        <v>65</v>
      </c>
    </row>
    <row r="9" spans="2:9">
      <c r="G9" s="4" t="s">
        <v>64</v>
      </c>
      <c r="H9">
        <f>1/'Geom karak spregnutog preseka'!D7*'Vreme to'!H5</f>
        <v>-0.47420809901274269</v>
      </c>
      <c r="I9" t="s">
        <v>65</v>
      </c>
    </row>
    <row r="10" spans="2:9">
      <c r="B10" t="s">
        <v>55</v>
      </c>
    </row>
    <row r="11" spans="2:9">
      <c r="B11" s="1" t="s">
        <v>56</v>
      </c>
      <c r="C11" s="1">
        <v>-2000</v>
      </c>
      <c r="D11" t="s">
        <v>66</v>
      </c>
    </row>
    <row r="12" spans="2:9">
      <c r="B12" s="1" t="s">
        <v>57</v>
      </c>
      <c r="C12" s="1">
        <v>6000</v>
      </c>
      <c r="D1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R26"/>
  <sheetViews>
    <sheetView workbookViewId="0">
      <selection activeCell="C27" sqref="C27"/>
    </sheetView>
  </sheetViews>
  <sheetFormatPr defaultRowHeight="15"/>
  <cols>
    <col min="2" max="2" width="15.5703125" bestFit="1" customWidth="1"/>
  </cols>
  <sheetData>
    <row r="3" spans="3:18">
      <c r="C3" s="4" t="s">
        <v>68</v>
      </c>
      <c r="D3">
        <v>1.1000000000000001</v>
      </c>
    </row>
    <row r="4" spans="3:18">
      <c r="C4" t="s">
        <v>69</v>
      </c>
      <c r="D4" s="1">
        <v>3.4</v>
      </c>
      <c r="F4" t="s">
        <v>14</v>
      </c>
      <c r="G4">
        <f>'Geom karak spregnutog preseka'!G5</f>
        <v>542</v>
      </c>
      <c r="I4" t="s">
        <v>37</v>
      </c>
      <c r="J4">
        <f>'Geom karak spregnutog preseka'!J5</f>
        <v>135.75461254612546</v>
      </c>
      <c r="K4" t="s">
        <v>4</v>
      </c>
      <c r="M4" t="s">
        <v>42</v>
      </c>
      <c r="N4">
        <f>G13-'Osnovne karakteristike'!D6</f>
        <v>81.478898756192692</v>
      </c>
      <c r="O4" t="s">
        <v>4</v>
      </c>
      <c r="P4" s="6" t="s">
        <v>48</v>
      </c>
    </row>
    <row r="5" spans="3:18">
      <c r="F5" t="s">
        <v>25</v>
      </c>
      <c r="G5">
        <f>'Geom karak spregnutog preseka'!G6</f>
        <v>50</v>
      </c>
      <c r="I5" t="s">
        <v>24</v>
      </c>
      <c r="J5">
        <f>'Geom karak spregnutog preseka'!J6</f>
        <v>12.4</v>
      </c>
      <c r="K5" t="s">
        <v>4</v>
      </c>
      <c r="M5" t="s">
        <v>43</v>
      </c>
      <c r="N5">
        <f>G13-'Osnovne karakteristike'!K6</f>
        <v>89.478898756192692</v>
      </c>
      <c r="O5" t="s">
        <v>4</v>
      </c>
      <c r="P5" s="6"/>
    </row>
    <row r="6" spans="3:18">
      <c r="C6" t="s">
        <v>70</v>
      </c>
      <c r="D6">
        <f>'Osnovne karakteristike'!D7/(1+'EC4 tecenje'!D3*'EC4 tecenje'!D4)</f>
        <v>6.7510548523206744</v>
      </c>
      <c r="F6" t="s">
        <v>33</v>
      </c>
      <c r="G6">
        <f>'Osnovne karakteristike'!D8/'EC4 tecenje'!D10</f>
        <v>231.4647377938517</v>
      </c>
      <c r="I6" t="s">
        <v>38</v>
      </c>
      <c r="J6">
        <f>'Geom karak spregnutog preseka'!J7</f>
        <v>12</v>
      </c>
      <c r="K6" t="s">
        <v>4</v>
      </c>
      <c r="M6" t="s">
        <v>44</v>
      </c>
      <c r="N6">
        <f>G13-'Osnovne karakteristike'!K7</f>
        <v>75.478898756192692</v>
      </c>
      <c r="O6" t="s">
        <v>4</v>
      </c>
      <c r="P6" s="6"/>
    </row>
    <row r="7" spans="3:18">
      <c r="M7" t="s">
        <v>16</v>
      </c>
      <c r="N7">
        <f>G13-'Osnovne karakteristike'!D5-'Osnovne karakteristike'!H11</f>
        <v>67.978898756192692</v>
      </c>
      <c r="O7" t="s">
        <v>4</v>
      </c>
      <c r="P7" s="6"/>
    </row>
    <row r="8" spans="3:18">
      <c r="M8" t="s">
        <v>17</v>
      </c>
      <c r="N8">
        <f>'Osnovne karakteristike'!D5+'Osnovne karakteristike'!H12-'Geom karak spregnutog preseka'!D14</f>
        <v>65.278670500676583</v>
      </c>
      <c r="O8" t="s">
        <v>4</v>
      </c>
      <c r="P8" s="6"/>
    </row>
    <row r="9" spans="3:18">
      <c r="F9" t="s">
        <v>39</v>
      </c>
      <c r="M9" t="s">
        <v>45</v>
      </c>
      <c r="N9">
        <f>'Osnovne karakteristike'!D5+'Osnovne karakteristike'!H13-'Geom karak spregnutog preseka'!D14</f>
        <v>157.27867050067658</v>
      </c>
      <c r="O9" t="s">
        <v>4</v>
      </c>
      <c r="P9" s="6"/>
    </row>
    <row r="10" spans="3:18">
      <c r="C10" t="s">
        <v>71</v>
      </c>
      <c r="D10">
        <f>'Geom karak spregnutog preseka'!D4/'EC4 tecenje'!D6</f>
        <v>31.106250000000003</v>
      </c>
      <c r="F10" s="3" t="s">
        <v>72</v>
      </c>
      <c r="G10" s="3">
        <f>G4+G5+G6</f>
        <v>823.46473779385167</v>
      </c>
      <c r="H10" s="3" t="s">
        <v>26</v>
      </c>
    </row>
    <row r="11" spans="3:18">
      <c r="Q11" t="s">
        <v>58</v>
      </c>
    </row>
    <row r="12" spans="3:18">
      <c r="F12" t="s">
        <v>35</v>
      </c>
      <c r="M12" t="s">
        <v>50</v>
      </c>
      <c r="N12">
        <f>'Osnovne karakteristike'!$D$5+'Osnovne karakteristike'!$H$7+'Osnovne karakteristike'!$H$5+'Osnovne karakteristike'!$H$9-G13</f>
        <v>117.52110124380731</v>
      </c>
      <c r="O12" t="s">
        <v>4</v>
      </c>
      <c r="Q12" s="4" t="s">
        <v>59</v>
      </c>
      <c r="R12">
        <f>$D$21/$G$10+$D$22*100*N12/$G$16</f>
        <v>11.459397366546305</v>
      </c>
    </row>
    <row r="13" spans="3:18">
      <c r="F13" s="3" t="s">
        <v>73</v>
      </c>
      <c r="G13" s="3">
        <f>(G4*J4+G5*J5+G6*J6)/G10</f>
        <v>93.478898756192692</v>
      </c>
      <c r="H13" s="3" t="s">
        <v>4</v>
      </c>
      <c r="M13" t="s">
        <v>51</v>
      </c>
      <c r="N13">
        <f>'Osnovne karakteristike'!$D$5-G13</f>
        <v>-69.478898756192692</v>
      </c>
      <c r="O13" t="s">
        <v>4</v>
      </c>
      <c r="Q13" s="4" t="s">
        <v>60</v>
      </c>
      <c r="R13">
        <f>$D$21/$G$10+$D$22*100*N13/$G$16</f>
        <v>-10.639492152497684</v>
      </c>
    </row>
    <row r="14" spans="3:18">
      <c r="M14" t="s">
        <v>52</v>
      </c>
      <c r="N14">
        <f>'Osnovne karakteristike'!$K$7-G13</f>
        <v>-75.478898756192692</v>
      </c>
      <c r="O14" t="s">
        <v>4</v>
      </c>
      <c r="Q14" s="4" t="s">
        <v>61</v>
      </c>
      <c r="R14">
        <f>$D$21/$G$10+$D$22*100*N14/$G$16</f>
        <v>-11.348547431183587</v>
      </c>
    </row>
    <row r="15" spans="3:18">
      <c r="F15" t="s">
        <v>40</v>
      </c>
      <c r="M15" t="s">
        <v>53</v>
      </c>
      <c r="N15">
        <f>'Osnovne karakteristike'!$K$6-G13</f>
        <v>-89.478898756192692</v>
      </c>
      <c r="O15" t="s">
        <v>4</v>
      </c>
      <c r="Q15" s="4" t="s">
        <v>62</v>
      </c>
      <c r="R15">
        <f>$D$21/$G$10+$D$22*100*N15/$G$16</f>
        <v>-13.003009748117361</v>
      </c>
    </row>
    <row r="16" spans="3:18">
      <c r="F16" s="3" t="s">
        <v>41</v>
      </c>
      <c r="G16" s="3">
        <f>'Osnovne karakteristike'!H17+'Osnovne karakteristike'!H10*('EC4 tecenje'!G13-'EC4 tecenje'!J4)^2+'Osnovne karakteristike'!K4*('EC4 tecenje'!G13-'Osnovne karakteristike'!K6)^2+'Osnovne karakteristike'!K5*('EC4 tecenje'!G13-'Osnovne karakteristike'!K7)^2+1/'EC4 tecenje'!D10*('Osnovne karakteristike'!D10+'Osnovne karakteristike'!D8*('EC4 tecenje'!G13-'EC4 tecenje'!J6)^2)</f>
        <v>5783880.2620340241</v>
      </c>
      <c r="M16" t="s">
        <v>54</v>
      </c>
      <c r="N16">
        <f>-G13</f>
        <v>-93.478898756192692</v>
      </c>
      <c r="O16" t="s">
        <v>4</v>
      </c>
      <c r="Q16" s="4" t="s">
        <v>63</v>
      </c>
      <c r="R16">
        <f>1/D10*($D$21/$G$10+$D$22*100*N16/$G$16)</f>
        <v>-0.4332156163871021</v>
      </c>
    </row>
    <row r="17" spans="2:18">
      <c r="Q17" s="4" t="s">
        <v>64</v>
      </c>
      <c r="R17">
        <f>1/D10*R13</f>
        <v>-0.34203711963022493</v>
      </c>
    </row>
    <row r="20" spans="2:18">
      <c r="C20" t="s">
        <v>55</v>
      </c>
    </row>
    <row r="21" spans="2:18">
      <c r="C21" s="1" t="s">
        <v>56</v>
      </c>
      <c r="D21" s="1">
        <f>'Vreme to'!C11</f>
        <v>-2000</v>
      </c>
      <c r="E21" t="s">
        <v>66</v>
      </c>
    </row>
    <row r="22" spans="2:18">
      <c r="C22" s="1" t="s">
        <v>57</v>
      </c>
      <c r="D22" s="1">
        <f>'Vreme to'!C12-'Vreme to'!C11*('EC4 tecenje'!G13-'Geom karak spregnutog preseka'!D14)/100</f>
        <v>6835.1513851373857</v>
      </c>
      <c r="E22" t="s">
        <v>67</v>
      </c>
    </row>
    <row r="24" spans="2:18">
      <c r="B24" t="s">
        <v>79</v>
      </c>
    </row>
    <row r="25" spans="2:18">
      <c r="B25" s="1" t="s">
        <v>80</v>
      </c>
    </row>
    <row r="26" spans="2:18">
      <c r="B26" s="3" t="s">
        <v>81</v>
      </c>
    </row>
  </sheetData>
  <mergeCells count="1">
    <mergeCell ref="P4:P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3:R22"/>
  <sheetViews>
    <sheetView workbookViewId="0">
      <selection activeCell="G27" sqref="G27"/>
    </sheetView>
  </sheetViews>
  <sheetFormatPr defaultRowHeight="15"/>
  <sheetData>
    <row r="3" spans="3:18">
      <c r="C3" s="4" t="s">
        <v>68</v>
      </c>
      <c r="D3">
        <v>0.55000000000000004</v>
      </c>
    </row>
    <row r="4" spans="3:18">
      <c r="C4" t="s">
        <v>69</v>
      </c>
      <c r="D4" s="1">
        <v>3.4</v>
      </c>
      <c r="F4" t="s">
        <v>14</v>
      </c>
      <c r="G4">
        <f>'Geom karak spregnutog preseka'!G5</f>
        <v>542</v>
      </c>
      <c r="I4" t="s">
        <v>37</v>
      </c>
      <c r="J4">
        <f>'Geom karak spregnutog preseka'!J5</f>
        <v>135.75461254612546</v>
      </c>
      <c r="K4" t="s">
        <v>4</v>
      </c>
      <c r="M4" t="s">
        <v>42</v>
      </c>
      <c r="N4">
        <f>G13-'Osnovne karakteristike'!D6</f>
        <v>68.86625798026698</v>
      </c>
      <c r="O4" t="s">
        <v>4</v>
      </c>
      <c r="P4" s="6" t="s">
        <v>48</v>
      </c>
    </row>
    <row r="5" spans="3:18">
      <c r="C5" s="4" t="s">
        <v>76</v>
      </c>
      <c r="D5" s="1">
        <f>-330*10^-6</f>
        <v>-3.3E-4</v>
      </c>
      <c r="F5" t="s">
        <v>25</v>
      </c>
      <c r="G5">
        <f>'Geom karak spregnutog preseka'!G6</f>
        <v>50</v>
      </c>
      <c r="I5" t="s">
        <v>24</v>
      </c>
      <c r="J5">
        <f>'Geom karak spregnutog preseka'!J6</f>
        <v>12.4</v>
      </c>
      <c r="K5" t="s">
        <v>4</v>
      </c>
      <c r="M5" t="s">
        <v>43</v>
      </c>
      <c r="N5">
        <f>G13-'Osnovne karakteristike'!K6</f>
        <v>76.86625798026698</v>
      </c>
      <c r="O5" t="s">
        <v>4</v>
      </c>
      <c r="P5" s="6"/>
    </row>
    <row r="6" spans="3:18">
      <c r="C6" t="s">
        <v>70</v>
      </c>
      <c r="D6">
        <f>'Osnovne karakteristike'!D7/(1+'EC4 skupljanje'!D3*'EC4 skupljanje'!D4)</f>
        <v>11.149825783972124</v>
      </c>
      <c r="F6" t="s">
        <v>33</v>
      </c>
      <c r="G6">
        <f>'Osnovne karakteristike'!D8/'EC4 skupljanje'!D10</f>
        <v>382.27974116475855</v>
      </c>
      <c r="I6" t="s">
        <v>38</v>
      </c>
      <c r="J6">
        <f>'Geom karak spregnutog preseka'!J7</f>
        <v>12</v>
      </c>
      <c r="K6" t="s">
        <v>4</v>
      </c>
      <c r="M6" t="s">
        <v>44</v>
      </c>
      <c r="N6">
        <f>G13-'Osnovne karakteristike'!K7</f>
        <v>62.86625798026698</v>
      </c>
      <c r="O6" t="s">
        <v>4</v>
      </c>
      <c r="P6" s="6"/>
    </row>
    <row r="7" spans="3:18">
      <c r="M7" t="s">
        <v>16</v>
      </c>
      <c r="N7">
        <f>G13-'Osnovne karakteristike'!D5-'Osnovne karakteristike'!H11</f>
        <v>55.36625798026698</v>
      </c>
      <c r="O7" t="s">
        <v>4</v>
      </c>
      <c r="P7" s="6"/>
    </row>
    <row r="8" spans="3:18">
      <c r="M8" t="s">
        <v>17</v>
      </c>
      <c r="N8">
        <f>'Osnovne karakteristike'!D5+'Osnovne karakteristike'!H12-'Geom karak spregnutog preseka'!D14</f>
        <v>65.278670500676583</v>
      </c>
      <c r="O8" t="s">
        <v>4</v>
      </c>
      <c r="P8" s="6"/>
    </row>
    <row r="9" spans="3:18">
      <c r="F9" t="s">
        <v>39</v>
      </c>
      <c r="M9" t="s">
        <v>45</v>
      </c>
      <c r="N9">
        <f>'Osnovne karakteristike'!D5+'Osnovne karakteristike'!H13-'Geom karak spregnutog preseka'!D14</f>
        <v>157.27867050067658</v>
      </c>
      <c r="O9" t="s">
        <v>4</v>
      </c>
      <c r="P9" s="6"/>
    </row>
    <row r="10" spans="3:18">
      <c r="C10" t="s">
        <v>71</v>
      </c>
      <c r="D10">
        <f>'Geom karak spregnutog preseka'!D4/'EC4 skupljanje'!D6</f>
        <v>18.834375000000001</v>
      </c>
      <c r="F10" s="3" t="s">
        <v>72</v>
      </c>
      <c r="G10" s="3">
        <f>G4+G5+G6</f>
        <v>974.27974116475855</v>
      </c>
      <c r="H10" s="3" t="s">
        <v>26</v>
      </c>
    </row>
    <row r="11" spans="3:18">
      <c r="Q11" t="s">
        <v>58</v>
      </c>
    </row>
    <row r="12" spans="3:18">
      <c r="F12" t="s">
        <v>35</v>
      </c>
      <c r="M12" t="s">
        <v>50</v>
      </c>
      <c r="N12">
        <f>'Osnovne karakteristike'!$D$5+'Osnovne karakteristike'!$H$7+'Osnovne karakteristike'!$H$5+'Osnovne karakteristike'!$H$9-G13</f>
        <v>130.13374201973301</v>
      </c>
      <c r="O12" t="s">
        <v>4</v>
      </c>
      <c r="Q12" s="4" t="s">
        <v>59</v>
      </c>
      <c r="R12">
        <f>$D$21/$G$10+$D$22*100*N12/$G$16</f>
        <v>0.85783414935849933</v>
      </c>
    </row>
    <row r="13" spans="3:18">
      <c r="F13" s="3" t="s">
        <v>73</v>
      </c>
      <c r="G13" s="3">
        <f>(G4*J4+G5*J5+G6*J6)/G10</f>
        <v>80.86625798026698</v>
      </c>
      <c r="H13" s="3" t="s">
        <v>4</v>
      </c>
      <c r="M13" t="s">
        <v>51</v>
      </c>
      <c r="N13">
        <f>'Osnovne karakteristike'!$D$5-G13</f>
        <v>-56.86625798026698</v>
      </c>
      <c r="O13" t="s">
        <v>4</v>
      </c>
      <c r="Q13" s="4" t="s">
        <v>60</v>
      </c>
      <c r="R13">
        <f>$D$21/$G$10+$D$22*100*N13/$G$16</f>
        <v>-4.2822110785504979</v>
      </c>
    </row>
    <row r="14" spans="3:18">
      <c r="M14" t="s">
        <v>52</v>
      </c>
      <c r="N14">
        <f>'Osnovne karakteristike'!$K$7-G13</f>
        <v>-62.86625798026698</v>
      </c>
      <c r="O14" t="s">
        <v>4</v>
      </c>
      <c r="Q14" s="4" t="s">
        <v>61</v>
      </c>
      <c r="R14">
        <f>$D$21/$G$10+$D$22*100*N14/$G$16</f>
        <v>-4.4471323158096094</v>
      </c>
    </row>
    <row r="15" spans="3:18">
      <c r="F15" t="s">
        <v>40</v>
      </c>
      <c r="M15" t="s">
        <v>53</v>
      </c>
      <c r="N15">
        <f>'Osnovne karakteristike'!$K$6-G13</f>
        <v>-76.86625798026698</v>
      </c>
      <c r="O15" t="s">
        <v>4</v>
      </c>
      <c r="Q15" s="4" t="s">
        <v>62</v>
      </c>
      <c r="R15">
        <f>$D$21/$G$10+$D$22*100*N15/$G$16</f>
        <v>-4.8319485360808709</v>
      </c>
    </row>
    <row r="16" spans="3:18">
      <c r="F16" s="3" t="s">
        <v>41</v>
      </c>
      <c r="G16" s="3">
        <f>'Osnovne karakteristike'!H17+'Osnovne karakteristike'!H10*('EC4 skupljanje'!G13-'EC4 skupljanje'!J4)^2+'Osnovne karakteristike'!K4*('EC4 skupljanje'!G13-'Osnovne karakteristike'!K6)^2+'Osnovne karakteristike'!K5*('EC4 skupljanje'!G13-'Osnovne karakteristike'!K7)^2+1/'EC4 skupljanje'!D10*('Osnovne karakteristike'!D10+'Osnovne karakteristike'!D8*('EC4 skupljanje'!G13-'EC4 skupljanje'!J6)^2)</f>
        <v>6637364.5150565617</v>
      </c>
      <c r="M16" t="s">
        <v>54</v>
      </c>
      <c r="N16">
        <f>-G13</f>
        <v>-80.86625798026698</v>
      </c>
      <c r="O16" t="s">
        <v>4</v>
      </c>
      <c r="Q16" s="4" t="s">
        <v>63</v>
      </c>
      <c r="R16">
        <f>1/D10*($D$21/$G$10+$D$22*100*N16/$G$16)-D6*10^6*D5/10000</f>
        <v>0.10555720444204031</v>
      </c>
    </row>
    <row r="17" spans="3:18">
      <c r="Q17" s="4" t="s">
        <v>64</v>
      </c>
      <c r="R17">
        <f>1/D10*R13-D5*D6*10^6/10000</f>
        <v>0.1405827866042543</v>
      </c>
    </row>
    <row r="20" spans="3:18">
      <c r="C20" t="s">
        <v>55</v>
      </c>
    </row>
    <row r="21" spans="3:18">
      <c r="C21" s="3" t="s">
        <v>56</v>
      </c>
      <c r="D21" s="3">
        <f>D5*D6*10^9*'Osnovne karakteristike'!D8/10000000</f>
        <v>-2649.198606271777</v>
      </c>
      <c r="E21" t="s">
        <v>66</v>
      </c>
    </row>
    <row r="22" spans="3:18">
      <c r="C22" s="3" t="s">
        <v>57</v>
      </c>
      <c r="D22" s="3">
        <f>-D21*N4/100</f>
        <v>1824.4039466047593</v>
      </c>
      <c r="E22" t="s">
        <v>67</v>
      </c>
    </row>
  </sheetData>
  <mergeCells count="1">
    <mergeCell ref="P4:P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3:D9"/>
  <sheetViews>
    <sheetView workbookViewId="0">
      <selection activeCell="C3" sqref="C3:C9"/>
    </sheetView>
  </sheetViews>
  <sheetFormatPr defaultRowHeight="15"/>
  <sheetData>
    <row r="3" spans="3:4">
      <c r="C3" t="s">
        <v>58</v>
      </c>
    </row>
    <row r="4" spans="3:4">
      <c r="C4" s="4" t="s">
        <v>59</v>
      </c>
      <c r="D4">
        <f>'EC4 skupljanje'!R12+'EC4 tecenje'!R12</f>
        <v>12.317231515904805</v>
      </c>
    </row>
    <row r="5" spans="3:4">
      <c r="C5" s="4" t="s">
        <v>60</v>
      </c>
      <c r="D5">
        <f>'EC4 skupljanje'!R13+'EC4 tecenje'!R13</f>
        <v>-14.921703231048182</v>
      </c>
    </row>
    <row r="6" spans="3:4">
      <c r="C6" s="4" t="s">
        <v>61</v>
      </c>
      <c r="D6">
        <f>'EC4 skupljanje'!R14+'EC4 tecenje'!R14</f>
        <v>-15.795679746993196</v>
      </c>
    </row>
    <row r="7" spans="3:4">
      <c r="C7" s="4" t="s">
        <v>62</v>
      </c>
      <c r="D7">
        <f>'EC4 skupljanje'!R15+'EC4 tecenje'!R15</f>
        <v>-17.83495828419823</v>
      </c>
    </row>
    <row r="8" spans="3:4">
      <c r="C8" s="4" t="s">
        <v>63</v>
      </c>
      <c r="D8">
        <f>'EC4 skupljanje'!R16+'EC4 tecenje'!R16</f>
        <v>-0.32765841194506179</v>
      </c>
    </row>
    <row r="9" spans="3:4">
      <c r="C9" s="4" t="s">
        <v>64</v>
      </c>
      <c r="D9">
        <f>'EC4 skupljanje'!R17+'EC4 tecenje'!R17</f>
        <v>-0.20145433302597063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:R26"/>
  <sheetViews>
    <sheetView workbookViewId="0">
      <selection activeCell="F7" sqref="F7"/>
    </sheetView>
  </sheetViews>
  <sheetFormatPr defaultRowHeight="15"/>
  <cols>
    <col min="2" max="2" width="15.5703125" bestFit="1" customWidth="1"/>
    <col min="7" max="7" width="12" bestFit="1" customWidth="1"/>
  </cols>
  <sheetData>
    <row r="3" spans="3:18">
      <c r="C3" s="4"/>
    </row>
    <row r="4" spans="3:18">
      <c r="C4" t="s">
        <v>69</v>
      </c>
      <c r="D4" s="1">
        <v>3.4</v>
      </c>
      <c r="F4" t="s">
        <v>14</v>
      </c>
      <c r="G4">
        <f>'Geom karak spregnutog preseka'!G5</f>
        <v>542</v>
      </c>
      <c r="I4" t="s">
        <v>37</v>
      </c>
      <c r="J4">
        <f>'Geom karak spregnutog preseka'!J5</f>
        <v>135.75461254612546</v>
      </c>
      <c r="K4" t="s">
        <v>4</v>
      </c>
      <c r="M4" t="s">
        <v>42</v>
      </c>
      <c r="N4">
        <f>G13-'Osnovne karakteristike'!D6</f>
        <v>79.746773894788845</v>
      </c>
      <c r="O4" t="s">
        <v>4</v>
      </c>
      <c r="P4" s="6" t="s">
        <v>48</v>
      </c>
    </row>
    <row r="5" spans="3:18">
      <c r="F5" t="s">
        <v>25</v>
      </c>
      <c r="G5">
        <f>'Geom karak spregnutog preseka'!G6</f>
        <v>50</v>
      </c>
      <c r="I5" t="s">
        <v>24</v>
      </c>
      <c r="J5">
        <f>'Geom karak spregnutog preseka'!J6</f>
        <v>12.4</v>
      </c>
      <c r="K5" t="s">
        <v>4</v>
      </c>
      <c r="M5" t="s">
        <v>43</v>
      </c>
      <c r="N5">
        <f>G13-'Osnovne karakteristike'!K6</f>
        <v>87.746773894788845</v>
      </c>
      <c r="O5" t="s">
        <v>4</v>
      </c>
      <c r="P5" s="6"/>
    </row>
    <row r="6" spans="3:18">
      <c r="C6" t="s">
        <v>70</v>
      </c>
      <c r="D6">
        <f>'Osnovne karakteristike'!D7/(1+'EM tecenje'!D4)</f>
        <v>7.2727272727272725</v>
      </c>
      <c r="F6" t="s">
        <v>82</v>
      </c>
      <c r="G6">
        <f>'Osnovne karakteristike'!D8/'EM tecenje'!D10</f>
        <v>249.35064935064935</v>
      </c>
      <c r="I6" t="s">
        <v>38</v>
      </c>
      <c r="J6">
        <f>'Geom karak spregnutog preseka'!J7</f>
        <v>12</v>
      </c>
      <c r="K6" t="s">
        <v>4</v>
      </c>
      <c r="M6" t="s">
        <v>44</v>
      </c>
      <c r="N6">
        <f>G13-'Osnovne karakteristike'!K7</f>
        <v>73.746773894788845</v>
      </c>
      <c r="O6" t="s">
        <v>4</v>
      </c>
      <c r="P6" s="6"/>
    </row>
    <row r="7" spans="3:18">
      <c r="M7" t="s">
        <v>16</v>
      </c>
      <c r="N7">
        <f>G13-'Osnovne karakteristike'!D5-'Osnovne karakteristike'!H11</f>
        <v>66.246773894788845</v>
      </c>
      <c r="O7" t="s">
        <v>4</v>
      </c>
      <c r="P7" s="6"/>
    </row>
    <row r="8" spans="3:18">
      <c r="M8" t="s">
        <v>17</v>
      </c>
      <c r="N8">
        <f>'Osnovne karakteristike'!D5+'Osnovne karakteristike'!H12-'Geom karak spregnutog preseka'!D14</f>
        <v>65.278670500676583</v>
      </c>
      <c r="O8" t="s">
        <v>4</v>
      </c>
      <c r="P8" s="6"/>
    </row>
    <row r="9" spans="3:18">
      <c r="F9" t="s">
        <v>39</v>
      </c>
      <c r="M9" t="s">
        <v>45</v>
      </c>
      <c r="N9">
        <f>'Osnovne karakteristike'!D5+'Osnovne karakteristike'!H13-'Geom karak spregnutog preseka'!D14</f>
        <v>157.27867050067658</v>
      </c>
      <c r="O9" t="s">
        <v>4</v>
      </c>
      <c r="P9" s="6"/>
    </row>
    <row r="10" spans="3:18">
      <c r="C10" t="s">
        <v>71</v>
      </c>
      <c r="D10">
        <f>'Geom karak spregnutog preseka'!D4/'EM tecenje'!D6</f>
        <v>28.875</v>
      </c>
      <c r="F10" s="3" t="s">
        <v>72</v>
      </c>
      <c r="G10" s="3">
        <f>G4+G5+G6</f>
        <v>841.35064935064929</v>
      </c>
      <c r="H10" s="3" t="s">
        <v>26</v>
      </c>
    </row>
    <row r="11" spans="3:18">
      <c r="Q11" t="s">
        <v>58</v>
      </c>
    </row>
    <row r="12" spans="3:18">
      <c r="F12" t="s">
        <v>35</v>
      </c>
      <c r="M12" t="s">
        <v>50</v>
      </c>
      <c r="N12">
        <f>'Osnovne karakteristike'!$D$5+'Osnovne karakteristike'!$H$7+'Osnovne karakteristike'!$H$5+'Osnovne karakteristike'!$H$9-G13</f>
        <v>119.25322610521116</v>
      </c>
      <c r="O12" t="s">
        <v>4</v>
      </c>
      <c r="Q12" s="4" t="s">
        <v>59</v>
      </c>
      <c r="R12">
        <f>$D$21/$G$10+$D$22*100*N12/$G$16</f>
        <v>11.366111868370654</v>
      </c>
    </row>
    <row r="13" spans="3:18">
      <c r="F13" s="3" t="s">
        <v>73</v>
      </c>
      <c r="G13" s="3">
        <f>(G4*J4+G5*J5+G6*J6)/G10</f>
        <v>91.746773894788845</v>
      </c>
      <c r="H13" s="3" t="s">
        <v>4</v>
      </c>
      <c r="M13" t="s">
        <v>51</v>
      </c>
      <c r="N13">
        <f>'Osnovne karakteristike'!$D$5-G13</f>
        <v>-67.746773894788845</v>
      </c>
      <c r="O13" t="s">
        <v>4</v>
      </c>
      <c r="Q13" s="4" t="s">
        <v>60</v>
      </c>
      <c r="R13">
        <f>$D$21/$G$10+$D$22*100*N13/$G$16</f>
        <v>-10.184552565763942</v>
      </c>
    </row>
    <row r="14" spans="3:18">
      <c r="M14" t="s">
        <v>52</v>
      </c>
      <c r="N14">
        <f>'Osnovne karakteristike'!$K$7-G13</f>
        <v>-73.746773894788845</v>
      </c>
      <c r="O14" t="s">
        <v>4</v>
      </c>
      <c r="Q14" s="4" t="s">
        <v>61</v>
      </c>
      <c r="R14">
        <f>$D$21/$G$10+$D$22*100*N14/$G$16</f>
        <v>-10.876017734773608</v>
      </c>
    </row>
    <row r="15" spans="3:18">
      <c r="F15" t="s">
        <v>40</v>
      </c>
      <c r="M15" t="s">
        <v>53</v>
      </c>
      <c r="N15">
        <f>'Osnovne karakteristike'!$K$6-G13</f>
        <v>-87.746773894788845</v>
      </c>
      <c r="O15" t="s">
        <v>4</v>
      </c>
      <c r="Q15" s="4" t="s">
        <v>62</v>
      </c>
      <c r="R15">
        <f>$D$21/$G$10+$D$22*100*N15/$G$16</f>
        <v>-12.48943646246283</v>
      </c>
    </row>
    <row r="16" spans="3:18">
      <c r="F16" s="3" t="s">
        <v>41</v>
      </c>
      <c r="G16" s="3">
        <f>'Osnovne karakteristike'!H17+'Osnovne karakteristike'!H10*('EM tecenje'!G13-'EM tecenje'!J4)^2+'Osnovne karakteristike'!K4*('EM tecenje'!G13-'Osnovne karakteristike'!K6)^2+'Osnovne karakteristike'!K5*('EM tecenje'!G13-'Osnovne karakteristike'!K7)^2+1/'EM tecenje'!D10*('Osnovne karakteristike'!D10+'Osnovne karakteristike'!D8*('EM tecenje'!G13-'EM tecenje'!J6)^2)</f>
        <v>5900955.7033646414</v>
      </c>
      <c r="M16" t="s">
        <v>54</v>
      </c>
      <c r="N16">
        <f>-G13</f>
        <v>-91.746773894788845</v>
      </c>
      <c r="O16" t="s">
        <v>4</v>
      </c>
      <c r="Q16" s="4" t="s">
        <v>63</v>
      </c>
      <c r="R16">
        <f>1/D10*($D$21/$G$10+$D$22*100*N16/$G$16)</f>
        <v>-0.44849915988926775</v>
      </c>
    </row>
    <row r="17" spans="2:18">
      <c r="Q17" s="4" t="s">
        <v>64</v>
      </c>
      <c r="R17">
        <f>1/D10*R13</f>
        <v>-0.35271177716931401</v>
      </c>
    </row>
    <row r="20" spans="2:18">
      <c r="C20" t="s">
        <v>55</v>
      </c>
    </row>
    <row r="21" spans="2:18">
      <c r="C21" s="1" t="s">
        <v>56</v>
      </c>
      <c r="D21" s="1">
        <f>'Vreme to'!C11</f>
        <v>-2000</v>
      </c>
      <c r="E21" t="s">
        <v>66</v>
      </c>
    </row>
    <row r="22" spans="2:18">
      <c r="C22" s="1" t="s">
        <v>57</v>
      </c>
      <c r="D22" s="1">
        <f>'Vreme to'!C12-'Vreme to'!C11*('EM tecenje'!G13-'Geom karak spregnutog preseka'!D14)/100</f>
        <v>6800.5088879093091</v>
      </c>
      <c r="E22" t="s">
        <v>67</v>
      </c>
    </row>
    <row r="24" spans="2:18">
      <c r="B24" t="s">
        <v>79</v>
      </c>
    </row>
    <row r="25" spans="2:18">
      <c r="B25" s="1" t="s">
        <v>80</v>
      </c>
    </row>
    <row r="26" spans="2:18">
      <c r="B26" s="3" t="s">
        <v>81</v>
      </c>
    </row>
  </sheetData>
  <mergeCells count="1">
    <mergeCell ref="P4:P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3:R22"/>
  <sheetViews>
    <sheetView workbookViewId="0">
      <selection activeCell="D6" sqref="D6"/>
    </sheetView>
  </sheetViews>
  <sheetFormatPr defaultRowHeight="15"/>
  <sheetData>
    <row r="3" spans="3:18">
      <c r="C3" s="4"/>
    </row>
    <row r="4" spans="3:18">
      <c r="F4" t="s">
        <v>14</v>
      </c>
      <c r="G4">
        <f>'Geom karak spregnutog preseka'!G5</f>
        <v>542</v>
      </c>
      <c r="I4" t="s">
        <v>37</v>
      </c>
      <c r="J4">
        <f>'Geom karak spregnutog preseka'!J5</f>
        <v>135.75461254612546</v>
      </c>
      <c r="K4" t="s">
        <v>4</v>
      </c>
      <c r="M4" t="s">
        <v>42</v>
      </c>
      <c r="N4">
        <f>G13-'Osnovne karakteristike'!D6</f>
        <v>79.746773894788845</v>
      </c>
      <c r="O4" t="s">
        <v>4</v>
      </c>
      <c r="P4" s="6" t="s">
        <v>48</v>
      </c>
    </row>
    <row r="5" spans="3:18">
      <c r="C5" s="4" t="s">
        <v>76</v>
      </c>
      <c r="D5" s="1">
        <f>-330*10^-6</f>
        <v>-3.3E-4</v>
      </c>
      <c r="F5" t="s">
        <v>25</v>
      </c>
      <c r="G5">
        <f>'Geom karak spregnutog preseka'!G6</f>
        <v>50</v>
      </c>
      <c r="I5" t="s">
        <v>24</v>
      </c>
      <c r="J5">
        <f>'Geom karak spregnutog preseka'!J6</f>
        <v>12.4</v>
      </c>
      <c r="K5" t="s">
        <v>4</v>
      </c>
      <c r="M5" t="s">
        <v>43</v>
      </c>
      <c r="N5">
        <f>G13-'Osnovne karakteristike'!K6</f>
        <v>87.746773894788845</v>
      </c>
      <c r="O5" t="s">
        <v>4</v>
      </c>
      <c r="P5" s="6"/>
    </row>
    <row r="6" spans="3:18">
      <c r="C6" t="s">
        <v>70</v>
      </c>
      <c r="D6">
        <f>'EM tecenje'!D6</f>
        <v>7.2727272727272725</v>
      </c>
      <c r="F6" t="s">
        <v>33</v>
      </c>
      <c r="G6">
        <f>'Osnovne karakteristike'!D8/'EM skupljanje'!D10</f>
        <v>249.35064935064935</v>
      </c>
      <c r="I6" t="s">
        <v>38</v>
      </c>
      <c r="J6">
        <f>'Geom karak spregnutog preseka'!J7</f>
        <v>12</v>
      </c>
      <c r="K6" t="s">
        <v>4</v>
      </c>
      <c r="M6" t="s">
        <v>44</v>
      </c>
      <c r="N6">
        <f>G13-'Osnovne karakteristike'!K7</f>
        <v>73.746773894788845</v>
      </c>
      <c r="O6" t="s">
        <v>4</v>
      </c>
      <c r="P6" s="6"/>
    </row>
    <row r="7" spans="3:18">
      <c r="M7" t="s">
        <v>16</v>
      </c>
      <c r="N7">
        <f>G13-'Osnovne karakteristike'!D5-'Osnovne karakteristike'!H11</f>
        <v>66.246773894788845</v>
      </c>
      <c r="O7" t="s">
        <v>4</v>
      </c>
      <c r="P7" s="6"/>
    </row>
    <row r="8" spans="3:18">
      <c r="M8" t="s">
        <v>17</v>
      </c>
      <c r="N8">
        <f>'Osnovne karakteristike'!D5+'Osnovne karakteristike'!H12-'Geom karak spregnutog preseka'!D14</f>
        <v>65.278670500676583</v>
      </c>
      <c r="O8" t="s">
        <v>4</v>
      </c>
      <c r="P8" s="6"/>
    </row>
    <row r="9" spans="3:18">
      <c r="F9" t="s">
        <v>39</v>
      </c>
      <c r="M9" t="s">
        <v>45</v>
      </c>
      <c r="N9">
        <f>'Osnovne karakteristike'!D5+'Osnovne karakteristike'!H13-'Geom karak spregnutog preseka'!D14</f>
        <v>157.27867050067658</v>
      </c>
      <c r="O9" t="s">
        <v>4</v>
      </c>
      <c r="P9" s="6"/>
    </row>
    <row r="10" spans="3:18">
      <c r="C10" t="s">
        <v>71</v>
      </c>
      <c r="D10">
        <f>'Geom karak spregnutog preseka'!D4/'EM skupljanje'!D6</f>
        <v>28.875</v>
      </c>
      <c r="F10" s="3" t="s">
        <v>72</v>
      </c>
      <c r="G10" s="3">
        <f>G4+G5+G6</f>
        <v>841.35064935064929</v>
      </c>
      <c r="H10" s="3" t="s">
        <v>26</v>
      </c>
    </row>
    <row r="11" spans="3:18">
      <c r="Q11" t="s">
        <v>58</v>
      </c>
    </row>
    <row r="12" spans="3:18">
      <c r="F12" t="s">
        <v>35</v>
      </c>
      <c r="M12" t="s">
        <v>50</v>
      </c>
      <c r="N12">
        <f>'Osnovne karakteristike'!$D$5+'Osnovne karakteristike'!$H$7+'Osnovne karakteristike'!$H$5+'Osnovne karakteristike'!$H$9-G13</f>
        <v>119.25322610521116</v>
      </c>
      <c r="O12" t="s">
        <v>4</v>
      </c>
      <c r="Q12" s="4" t="s">
        <v>59</v>
      </c>
      <c r="R12">
        <f>$D$21/$G$10+$D$22*100*N12/$G$16</f>
        <v>0.73102772744589206</v>
      </c>
    </row>
    <row r="13" spans="3:18">
      <c r="F13" s="3" t="s">
        <v>73</v>
      </c>
      <c r="G13" s="3">
        <f>(G4*J4+G5*J5+G6*J6)/G10</f>
        <v>91.746773894788845</v>
      </c>
      <c r="H13" s="3" t="s">
        <v>4</v>
      </c>
      <c r="M13" t="s">
        <v>51</v>
      </c>
      <c r="N13">
        <f>'Osnovne karakteristike'!$D$5-G13</f>
        <v>-67.746773894788845</v>
      </c>
      <c r="O13" t="s">
        <v>4</v>
      </c>
      <c r="Q13" s="4" t="s">
        <v>60</v>
      </c>
      <c r="R13">
        <f>$D$21/$G$10+$D$22*100*N13/$G$16</f>
        <v>-3.6359010930116726</v>
      </c>
    </row>
    <row r="14" spans="3:18">
      <c r="M14" t="s">
        <v>52</v>
      </c>
      <c r="N14">
        <f>'Osnovne karakteristike'!$K$7-G13</f>
        <v>-73.746773894788845</v>
      </c>
      <c r="O14" t="s">
        <v>4</v>
      </c>
      <c r="Q14" s="4" t="s">
        <v>61</v>
      </c>
      <c r="R14">
        <f>$D$21/$G$10+$D$22*100*N14/$G$16</f>
        <v>-3.7760164562349097</v>
      </c>
    </row>
    <row r="15" spans="3:18">
      <c r="F15" t="s">
        <v>40</v>
      </c>
      <c r="M15" t="s">
        <v>53</v>
      </c>
      <c r="N15">
        <f>'Osnovne karakteristike'!$K$6-G13</f>
        <v>-87.746773894788845</v>
      </c>
      <c r="O15" t="s">
        <v>4</v>
      </c>
      <c r="Q15" s="4" t="s">
        <v>62</v>
      </c>
      <c r="R15">
        <f>$D$21/$G$10+$D$22*100*N15/$G$16</f>
        <v>-4.1029523037557967</v>
      </c>
    </row>
    <row r="16" spans="3:18">
      <c r="F16" s="3" t="s">
        <v>41</v>
      </c>
      <c r="G16" s="3">
        <f>'Osnovne karakteristike'!H17+'Osnovne karakteristike'!H10*('EM skupljanje'!G13-'EM skupljanje'!J4)^2+'Osnovne karakteristike'!K4*('EM skupljanje'!G13-'Osnovne karakteristike'!K6)^2+'Osnovne karakteristike'!K5*('EM skupljanje'!G13-'Osnovne karakteristike'!K7)^2+1/'EM skupljanje'!D10*('Osnovne karakteristike'!D10+'Osnovne karakteristike'!D8*('EM skupljanje'!G13-'EM skupljanje'!J6)^2)</f>
        <v>5900955.7033646414</v>
      </c>
      <c r="M16" t="s">
        <v>54</v>
      </c>
      <c r="N16">
        <f>-G13</f>
        <v>-91.746773894788845</v>
      </c>
      <c r="O16" t="s">
        <v>4</v>
      </c>
      <c r="Q16" s="4" t="s">
        <v>63</v>
      </c>
      <c r="R16">
        <f>1/D10*($D$21/$G$10+$D$22*100*N16/$G$16)-D6*10^6*D5/10000</f>
        <v>9.4671426981658119E-2</v>
      </c>
    </row>
    <row r="17" spans="3:18">
      <c r="Q17" s="4" t="s">
        <v>64</v>
      </c>
      <c r="R17">
        <f>1/D10*R13-D5*D6*10^6/10000</f>
        <v>0.11408134742816717</v>
      </c>
    </row>
    <row r="20" spans="3:18">
      <c r="C20" t="s">
        <v>55</v>
      </c>
    </row>
    <row r="21" spans="3:18">
      <c r="C21" s="3" t="s">
        <v>56</v>
      </c>
      <c r="D21" s="3">
        <f>D5*D6*10^9*'Osnovne karakteristike'!D8/10000000</f>
        <v>-1728</v>
      </c>
      <c r="E21" t="s">
        <v>66</v>
      </c>
    </row>
    <row r="22" spans="3:18">
      <c r="C22" s="3" t="s">
        <v>57</v>
      </c>
      <c r="D22" s="3">
        <f>-D21*N4/100</f>
        <v>1378.0242529019513</v>
      </c>
      <c r="E22" t="s">
        <v>67</v>
      </c>
    </row>
  </sheetData>
  <mergeCells count="1">
    <mergeCell ref="P4:P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C3:D9"/>
  <sheetViews>
    <sheetView workbookViewId="0">
      <selection activeCell="D14" sqref="D14"/>
    </sheetView>
  </sheetViews>
  <sheetFormatPr defaultRowHeight="15"/>
  <sheetData>
    <row r="3" spans="3:4">
      <c r="C3" t="s">
        <v>58</v>
      </c>
    </row>
    <row r="4" spans="3:4">
      <c r="C4" s="4" t="s">
        <v>59</v>
      </c>
      <c r="D4">
        <f>'EM tecenje'!R12+'EM skupljanje'!R12</f>
        <v>12.097139595816547</v>
      </c>
    </row>
    <row r="5" spans="3:4">
      <c r="C5" s="4" t="s">
        <v>60</v>
      </c>
      <c r="D5">
        <f>'EM tecenje'!R13+'EM skupljanje'!R13</f>
        <v>-13.820453658775616</v>
      </c>
    </row>
    <row r="6" spans="3:4">
      <c r="C6" s="4" t="s">
        <v>61</v>
      </c>
      <c r="D6">
        <f>'EM tecenje'!R14+'EM skupljanje'!R14</f>
        <v>-14.652034191008518</v>
      </c>
    </row>
    <row r="7" spans="3:4">
      <c r="C7" s="4" t="s">
        <v>62</v>
      </c>
      <c r="D7">
        <f>'EM tecenje'!R15+'EM skupljanje'!R15</f>
        <v>-16.592388766218626</v>
      </c>
    </row>
    <row r="8" spans="3:4">
      <c r="C8" s="4" t="s">
        <v>63</v>
      </c>
      <c r="D8">
        <f>'EM tecenje'!R16+'EM skupljanje'!R16</f>
        <v>-0.3538277329076096</v>
      </c>
    </row>
    <row r="9" spans="3:4">
      <c r="C9" s="4" t="s">
        <v>64</v>
      </c>
      <c r="D9">
        <f>'EM tecenje'!R17+'EM skupljanje'!R17</f>
        <v>-0.23863042974114684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Osnovne karakteristike</vt:lpstr>
      <vt:lpstr>Geom karak spregnutog preseka</vt:lpstr>
      <vt:lpstr>Vreme to</vt:lpstr>
      <vt:lpstr>EC4 tecenje</vt:lpstr>
      <vt:lpstr>EC4 skupljanje</vt:lpstr>
      <vt:lpstr>EC4 ukupno</vt:lpstr>
      <vt:lpstr>EM tecenje</vt:lpstr>
      <vt:lpstr>EM skupljanje</vt:lpstr>
      <vt:lpstr>EM ukupno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</dc:creator>
  <cp:lastModifiedBy>Miloš</cp:lastModifiedBy>
  <dcterms:created xsi:type="dcterms:W3CDTF">2011-04-02T15:59:30Z</dcterms:created>
  <dcterms:modified xsi:type="dcterms:W3CDTF">2011-04-08T18:01:45Z</dcterms:modified>
</cp:coreProperties>
</file>